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"/>
    </mc:Choice>
  </mc:AlternateContent>
  <bookViews>
    <workbookView xWindow="10935" yWindow="-30" windowWidth="13185" windowHeight="10155" tabRatio="87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5" r:id="rId14"/>
    <sheet name="15" sheetId="16" r:id="rId15"/>
    <sheet name="16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  <sheet name="CALIDDA" sheetId="47" r:id="rId46"/>
    <sheet name="CONTUGAS" sheetId="48" r:id="rId47"/>
    <sheet name="QUAVII" sheetId="49" r:id="rId48"/>
    <sheet name="NATURGY" sheetId="50" r:id="rId49"/>
  </sheets>
  <externalReferences>
    <externalReference r:id="rId50"/>
    <externalReference r:id="rId51"/>
  </externalReferences>
  <definedNames>
    <definedName name="_xlnm.Print_Area" localSheetId="20">'21'!$A$2:$G$49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50" l="1"/>
  <c r="M6" i="50"/>
  <c r="L6" i="50"/>
  <c r="K6" i="50"/>
  <c r="J6" i="50"/>
  <c r="I6" i="50"/>
  <c r="H6" i="50"/>
  <c r="G6" i="50"/>
  <c r="F6" i="50"/>
  <c r="E6" i="50"/>
  <c r="D6" i="50"/>
  <c r="C6" i="50"/>
  <c r="B6" i="50"/>
  <c r="I22" i="49"/>
  <c r="H22" i="49"/>
  <c r="D22" i="49"/>
  <c r="M6" i="49"/>
  <c r="L6" i="49"/>
  <c r="K6" i="49"/>
  <c r="J6" i="49"/>
  <c r="I6" i="49"/>
  <c r="H6" i="49"/>
  <c r="G6" i="49"/>
  <c r="F6" i="49"/>
  <c r="E6" i="49"/>
  <c r="D6" i="49"/>
  <c r="C6" i="49"/>
  <c r="B6" i="49"/>
  <c r="M25" i="48"/>
  <c r="L25" i="48"/>
  <c r="K25" i="48"/>
  <c r="J25" i="48"/>
  <c r="I25" i="48"/>
  <c r="F25" i="48"/>
  <c r="M16" i="48"/>
  <c r="L16" i="48"/>
  <c r="K16" i="48"/>
  <c r="J16" i="48"/>
  <c r="I16" i="48"/>
  <c r="H16" i="48"/>
  <c r="G16" i="48"/>
  <c r="F16" i="48"/>
  <c r="E16" i="48"/>
  <c r="D16" i="48"/>
  <c r="C16" i="48"/>
  <c r="B16" i="48"/>
  <c r="M7" i="48"/>
  <c r="L7" i="48"/>
  <c r="K7" i="48"/>
  <c r="J7" i="48"/>
  <c r="I7" i="48"/>
  <c r="H7" i="48"/>
  <c r="G7" i="48"/>
  <c r="F7" i="48"/>
  <c r="E7" i="48"/>
  <c r="D7" i="48"/>
  <c r="C7" i="48"/>
  <c r="B7" i="48"/>
  <c r="M25" i="47"/>
  <c r="F25" i="47"/>
  <c r="M14" i="47"/>
  <c r="M16" i="47" s="1"/>
  <c r="L14" i="47"/>
  <c r="L16" i="47" s="1"/>
  <c r="K14" i="47"/>
  <c r="K16" i="47" s="1"/>
  <c r="J14" i="47"/>
  <c r="J16" i="47" s="1"/>
  <c r="I14" i="47"/>
  <c r="I16" i="47" s="1"/>
  <c r="H14" i="47"/>
  <c r="H16" i="47" s="1"/>
  <c r="G14" i="47"/>
  <c r="G16" i="47" s="1"/>
  <c r="F14" i="47"/>
  <c r="F16" i="47" s="1"/>
  <c r="E14" i="47"/>
  <c r="E16" i="47" s="1"/>
  <c r="D14" i="47"/>
  <c r="D16" i="47" s="1"/>
  <c r="C14" i="47"/>
  <c r="C16" i="47" s="1"/>
  <c r="B14" i="47"/>
  <c r="B16" i="47" s="1"/>
  <c r="M5" i="47"/>
  <c r="M7" i="47" s="1"/>
  <c r="L5" i="47"/>
  <c r="L7" i="47" s="1"/>
  <c r="K5" i="47"/>
  <c r="K7" i="47" s="1"/>
  <c r="J5" i="47"/>
  <c r="J7" i="47" s="1"/>
  <c r="I5" i="47"/>
  <c r="I7" i="47" s="1"/>
  <c r="H5" i="47"/>
  <c r="H7" i="47" s="1"/>
  <c r="G5" i="47"/>
  <c r="G7" i="47" s="1"/>
  <c r="F5" i="47"/>
  <c r="F7" i="47" s="1"/>
  <c r="E5" i="47"/>
  <c r="E7" i="47" s="1"/>
  <c r="D5" i="47"/>
  <c r="D7" i="47" s="1"/>
  <c r="C5" i="47"/>
  <c r="C7" i="47" s="1"/>
  <c r="B5" i="47"/>
  <c r="B7" i="47" s="1"/>
  <c r="M5" i="46"/>
  <c r="L5" i="46"/>
  <c r="K5" i="46"/>
  <c r="J5" i="46"/>
  <c r="I5" i="46"/>
  <c r="H5" i="46"/>
  <c r="G5" i="46"/>
  <c r="F5" i="46"/>
  <c r="E5" i="46"/>
  <c r="D5" i="46"/>
  <c r="C5" i="46"/>
  <c r="B5" i="46"/>
  <c r="M5" i="45"/>
  <c r="L5" i="45"/>
  <c r="K5" i="45"/>
  <c r="J5" i="45"/>
  <c r="I5" i="45"/>
  <c r="H5" i="45"/>
  <c r="G5" i="45"/>
  <c r="F5" i="45"/>
  <c r="E5" i="45"/>
  <c r="D5" i="45"/>
  <c r="C5" i="45"/>
  <c r="B5" i="45"/>
  <c r="M5" i="44"/>
  <c r="L5" i="44"/>
  <c r="K5" i="44"/>
  <c r="J5" i="44"/>
  <c r="I5" i="44"/>
  <c r="H5" i="44"/>
  <c r="G5" i="44"/>
  <c r="F5" i="44"/>
  <c r="E5" i="44"/>
  <c r="D5" i="44"/>
  <c r="C5" i="44"/>
  <c r="B5" i="44"/>
  <c r="H22" i="27" l="1"/>
  <c r="H23" i="27" s="1"/>
  <c r="G22" i="27"/>
  <c r="F22" i="27"/>
  <c r="E22" i="27"/>
  <c r="D22" i="27"/>
  <c r="C22" i="27"/>
  <c r="B22" i="27"/>
  <c r="F55" i="26"/>
  <c r="E55" i="26"/>
  <c r="D55" i="26"/>
  <c r="C55" i="26"/>
  <c r="B55" i="26"/>
  <c r="G54" i="26"/>
  <c r="G53" i="26"/>
  <c r="G52" i="26"/>
  <c r="G51" i="26"/>
  <c r="G50" i="26"/>
  <c r="G49" i="26"/>
  <c r="G48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3" i="26"/>
  <c r="H16" i="25"/>
  <c r="G16" i="25"/>
  <c r="F16" i="25"/>
  <c r="E16" i="25"/>
  <c r="D16" i="25"/>
  <c r="C16" i="25"/>
  <c r="B16" i="25"/>
  <c r="H11" i="25"/>
  <c r="G11" i="25"/>
  <c r="F11" i="25"/>
  <c r="E11" i="25"/>
  <c r="D11" i="25"/>
  <c r="C11" i="25"/>
  <c r="B11" i="25"/>
  <c r="H8" i="25"/>
  <c r="G8" i="25"/>
  <c r="F8" i="25"/>
  <c r="E8" i="25"/>
  <c r="D8" i="25"/>
  <c r="C8" i="25"/>
  <c r="B8" i="25"/>
  <c r="H3" i="25"/>
  <c r="H20" i="25" s="1"/>
  <c r="G3" i="25"/>
  <c r="G20" i="25" s="1"/>
  <c r="F3" i="25"/>
  <c r="E3" i="25"/>
  <c r="D3" i="25"/>
  <c r="C3" i="25"/>
  <c r="B3" i="25"/>
  <c r="G7" i="24"/>
  <c r="F7" i="24"/>
  <c r="E7" i="24"/>
  <c r="D7" i="24"/>
  <c r="C7" i="24"/>
  <c r="B7" i="24"/>
  <c r="H6" i="24"/>
  <c r="H5" i="24"/>
  <c r="H4" i="24"/>
  <c r="H3" i="24"/>
  <c r="G45" i="22"/>
  <c r="F45" i="22"/>
  <c r="E45" i="22"/>
  <c r="D45" i="22"/>
  <c r="D49" i="22" s="1"/>
  <c r="C45" i="22"/>
  <c r="C49" i="22" s="1"/>
  <c r="B45" i="22"/>
  <c r="G26" i="22"/>
  <c r="F26" i="22"/>
  <c r="F49" i="22" s="1"/>
  <c r="E26" i="22"/>
  <c r="D26" i="22"/>
  <c r="C26" i="22"/>
  <c r="B26" i="22"/>
  <c r="J9" i="22"/>
  <c r="K9" i="22" s="1"/>
  <c r="J8" i="22"/>
  <c r="K8" i="22" s="1"/>
  <c r="J7" i="22"/>
  <c r="K7" i="22" s="1"/>
  <c r="J6" i="22"/>
  <c r="K6" i="22" s="1"/>
  <c r="J5" i="22"/>
  <c r="K5" i="22" s="1"/>
  <c r="J4" i="22"/>
  <c r="K4" i="22" s="1"/>
  <c r="J3" i="22"/>
  <c r="I45" i="21"/>
  <c r="H45" i="21"/>
  <c r="G45" i="21"/>
  <c r="F45" i="21"/>
  <c r="E45" i="21"/>
  <c r="D45" i="21"/>
  <c r="I34" i="21"/>
  <c r="H34" i="21"/>
  <c r="H46" i="21" s="1"/>
  <c r="H48" i="21" s="1"/>
  <c r="G34" i="21"/>
  <c r="F34" i="21"/>
  <c r="E34" i="21"/>
  <c r="D34" i="21"/>
  <c r="D46" i="21" s="1"/>
  <c r="D48" i="21" s="1"/>
  <c r="I18" i="21"/>
  <c r="H18" i="21"/>
  <c r="G18" i="21"/>
  <c r="F18" i="21"/>
  <c r="E18" i="21"/>
  <c r="D18" i="21"/>
  <c r="I4" i="21"/>
  <c r="H4" i="21"/>
  <c r="G4" i="21"/>
  <c r="F4" i="21"/>
  <c r="E4" i="21"/>
  <c r="D4" i="21"/>
  <c r="J10" i="22" l="1"/>
  <c r="K10" i="22" s="1"/>
  <c r="G55" i="26"/>
  <c r="E49" i="22"/>
  <c r="E46" i="21"/>
  <c r="E48" i="21" s="1"/>
  <c r="B20" i="25"/>
  <c r="F46" i="21"/>
  <c r="F48" i="21" s="1"/>
  <c r="G49" i="22"/>
  <c r="C20" i="25"/>
  <c r="G46" i="21"/>
  <c r="G48" i="21" s="1"/>
  <c r="B49" i="22"/>
  <c r="D20" i="25"/>
  <c r="E20" i="25"/>
  <c r="I46" i="21"/>
  <c r="I48" i="21" s="1"/>
  <c r="H7" i="24"/>
  <c r="F20" i="25"/>
  <c r="L9" i="22"/>
  <c r="L6" i="22"/>
  <c r="L4" i="22"/>
  <c r="L7" i="22"/>
  <c r="L5" i="22"/>
  <c r="L8" i="22"/>
  <c r="K3" i="22"/>
  <c r="L3" i="22" s="1"/>
  <c r="L10" i="22" s="1"/>
  <c r="C34" i="6"/>
  <c r="D19" i="2"/>
  <c r="D23" i="2"/>
  <c r="C37" i="1"/>
  <c r="C33" i="1"/>
  <c r="J5" i="15" l="1"/>
  <c r="J4" i="15"/>
  <c r="D8" i="20" l="1"/>
  <c r="D15" i="20"/>
  <c r="D21" i="20"/>
  <c r="D26" i="20"/>
  <c r="D31" i="20"/>
  <c r="D28" i="20" l="1"/>
  <c r="D32" i="20" s="1"/>
  <c r="I10" i="18" l="1"/>
  <c r="I11" i="18" s="1"/>
  <c r="H10" i="18"/>
  <c r="G10" i="18"/>
  <c r="G11" i="18" s="1"/>
  <c r="F10" i="18"/>
  <c r="E10" i="18"/>
  <c r="E11" i="18" s="1"/>
  <c r="D10" i="18"/>
  <c r="D11" i="18" s="1"/>
  <c r="F11" i="18"/>
  <c r="H11" i="18"/>
  <c r="D9" i="18"/>
  <c r="E9" i="18"/>
  <c r="F9" i="18"/>
  <c r="G9" i="18"/>
  <c r="H9" i="18"/>
  <c r="I9" i="18"/>
  <c r="C9" i="18"/>
  <c r="C10" i="18"/>
  <c r="C11" i="18" s="1"/>
  <c r="I4" i="18"/>
  <c r="I7" i="18" s="1"/>
  <c r="H4" i="18"/>
  <c r="H7" i="18" s="1"/>
  <c r="G4" i="18"/>
  <c r="G7" i="18" s="1"/>
  <c r="F4" i="18"/>
  <c r="F7" i="18" s="1"/>
  <c r="F12" i="18" s="1"/>
  <c r="E4" i="18"/>
  <c r="E7" i="18" s="1"/>
  <c r="D4" i="18"/>
  <c r="D7" i="18" s="1"/>
  <c r="C4" i="18"/>
  <c r="C7" i="18" s="1"/>
  <c r="N44" i="17"/>
  <c r="L44" i="17"/>
  <c r="K44" i="17"/>
  <c r="G44" i="17"/>
  <c r="F44" i="17"/>
  <c r="E44" i="17"/>
  <c r="D44" i="17"/>
  <c r="O42" i="17"/>
  <c r="M44" i="17"/>
  <c r="O41" i="17"/>
  <c r="D35" i="17"/>
  <c r="D36" i="17" s="1"/>
  <c r="E35" i="17"/>
  <c r="E36" i="17" s="1"/>
  <c r="F35" i="17"/>
  <c r="F36" i="17" s="1"/>
  <c r="G35" i="17"/>
  <c r="G36" i="17" s="1"/>
  <c r="H35" i="17"/>
  <c r="I35" i="17"/>
  <c r="J35" i="17"/>
  <c r="K35" i="17"/>
  <c r="K36" i="17" s="1"/>
  <c r="L35" i="17"/>
  <c r="L36" i="17" s="1"/>
  <c r="M35" i="17"/>
  <c r="M36" i="17" s="1"/>
  <c r="N35" i="17"/>
  <c r="N36" i="17" s="1"/>
  <c r="C35" i="17"/>
  <c r="C36" i="17" s="1"/>
  <c r="H36" i="17"/>
  <c r="J36" i="17"/>
  <c r="D8" i="17"/>
  <c r="E8" i="17"/>
  <c r="E15" i="17" s="1"/>
  <c r="F8" i="17"/>
  <c r="G8" i="17"/>
  <c r="G15" i="17" s="1"/>
  <c r="H8" i="17"/>
  <c r="H15" i="17" s="1"/>
  <c r="I8" i="17"/>
  <c r="I15" i="17" s="1"/>
  <c r="J8" i="17"/>
  <c r="J15" i="17" s="1"/>
  <c r="K8" i="17"/>
  <c r="K15" i="17" s="1"/>
  <c r="L8" i="17"/>
  <c r="L15" i="17" s="1"/>
  <c r="M8" i="17"/>
  <c r="M15" i="17" s="1"/>
  <c r="N8" i="17"/>
  <c r="N15" i="17" s="1"/>
  <c r="C8" i="17"/>
  <c r="O21" i="17"/>
  <c r="O26" i="17"/>
  <c r="N27" i="17"/>
  <c r="H27" i="17"/>
  <c r="G27" i="17"/>
  <c r="F27" i="17"/>
  <c r="E27" i="17"/>
  <c r="D27" i="17"/>
  <c r="I27" i="17"/>
  <c r="J27" i="17"/>
  <c r="K27" i="17"/>
  <c r="L27" i="17"/>
  <c r="M27" i="17"/>
  <c r="C27" i="17"/>
  <c r="K16" i="17"/>
  <c r="L16" i="17"/>
  <c r="M16" i="17"/>
  <c r="M24" i="17" s="1"/>
  <c r="N16" i="17"/>
  <c r="D16" i="17"/>
  <c r="E16" i="17"/>
  <c r="F16" i="17"/>
  <c r="F24" i="17" s="1"/>
  <c r="G16" i="17"/>
  <c r="G24" i="17" s="1"/>
  <c r="H16" i="17"/>
  <c r="H24" i="17" s="1"/>
  <c r="I16" i="17"/>
  <c r="I24" i="17" s="1"/>
  <c r="J16" i="17"/>
  <c r="J24" i="17" s="1"/>
  <c r="C16" i="17"/>
  <c r="F15" i="17"/>
  <c r="O9" i="17"/>
  <c r="O10" i="17"/>
  <c r="I36" i="17"/>
  <c r="O6" i="17"/>
  <c r="H44" i="17"/>
  <c r="I44" i="17"/>
  <c r="J44" i="17"/>
  <c r="O43" i="17"/>
  <c r="O40" i="17"/>
  <c r="O39" i="17"/>
  <c r="O38" i="17"/>
  <c r="O37" i="17"/>
  <c r="O34" i="17"/>
  <c r="O25" i="17"/>
  <c r="O23" i="17"/>
  <c r="O22" i="17"/>
  <c r="O20" i="17"/>
  <c r="O19" i="17"/>
  <c r="O18" i="17"/>
  <c r="O17" i="17"/>
  <c r="O7" i="17"/>
  <c r="O11" i="17"/>
  <c r="O12" i="17"/>
  <c r="O13" i="17"/>
  <c r="O14" i="17"/>
  <c r="D12" i="18" l="1"/>
  <c r="E12" i="18"/>
  <c r="C12" i="18"/>
  <c r="O8" i="17"/>
  <c r="O15" i="17" s="1"/>
  <c r="H12" i="18"/>
  <c r="G12" i="18"/>
  <c r="O27" i="17"/>
  <c r="I12" i="18"/>
  <c r="D15" i="17"/>
  <c r="C44" i="17"/>
  <c r="C45" i="17" s="1"/>
  <c r="M45" i="17"/>
  <c r="N45" i="17"/>
  <c r="D45" i="17"/>
  <c r="L45" i="17"/>
  <c r="O44" i="17"/>
  <c r="F45" i="17"/>
  <c r="E45" i="17"/>
  <c r="O35" i="17"/>
  <c r="O33" i="17"/>
  <c r="O32" i="17"/>
  <c r="H45" i="17"/>
  <c r="G45" i="17"/>
  <c r="I45" i="17"/>
  <c r="K45" i="17"/>
  <c r="J45" i="17"/>
  <c r="L24" i="17"/>
  <c r="L28" i="17" s="1"/>
  <c r="C24" i="17"/>
  <c r="K24" i="17"/>
  <c r="K28" i="17" s="1"/>
  <c r="N24" i="17"/>
  <c r="N28" i="17" s="1"/>
  <c r="E24" i="17"/>
  <c r="E28" i="17" s="1"/>
  <c r="D24" i="17"/>
  <c r="O16" i="17"/>
  <c r="O24" i="17" s="1"/>
  <c r="J28" i="17"/>
  <c r="I28" i="17"/>
  <c r="M28" i="17"/>
  <c r="G28" i="17"/>
  <c r="F28" i="17"/>
  <c r="H28" i="17"/>
  <c r="C15" i="17"/>
  <c r="E47" i="17" l="1"/>
  <c r="D28" i="17"/>
  <c r="D47" i="17" s="1"/>
  <c r="M47" i="17"/>
  <c r="L47" i="17"/>
  <c r="F47" i="17"/>
  <c r="I47" i="17"/>
  <c r="N47" i="17"/>
  <c r="K47" i="17"/>
  <c r="O36" i="17"/>
  <c r="O45" i="17" s="1"/>
  <c r="G47" i="17"/>
  <c r="H47" i="17"/>
  <c r="J47" i="17"/>
  <c r="C28" i="17"/>
  <c r="C47" i="17" s="1"/>
  <c r="O28" i="17"/>
  <c r="O47" i="17" l="1"/>
  <c r="H6" i="15"/>
  <c r="C6" i="15"/>
  <c r="D6" i="15"/>
  <c r="E6" i="15"/>
  <c r="F6" i="15"/>
  <c r="G6" i="15"/>
  <c r="D46" i="13"/>
  <c r="E46" i="13"/>
  <c r="F46" i="13"/>
  <c r="G46" i="13"/>
  <c r="H46" i="13"/>
  <c r="I46" i="13"/>
  <c r="J46" i="13"/>
  <c r="K46" i="13"/>
  <c r="L46" i="13"/>
  <c r="M46" i="13"/>
  <c r="N46" i="13"/>
  <c r="C46" i="13"/>
  <c r="O42" i="13"/>
  <c r="O41" i="13"/>
  <c r="O40" i="13"/>
  <c r="O39" i="13"/>
  <c r="O38" i="13"/>
  <c r="O37" i="13"/>
  <c r="O44" i="13"/>
  <c r="O45" i="13"/>
  <c r="O16" i="13"/>
  <c r="O25" i="13"/>
  <c r="O24" i="13"/>
  <c r="O22" i="13"/>
  <c r="O8" i="13"/>
  <c r="O36" i="13"/>
  <c r="O14" i="13"/>
  <c r="O28" i="13"/>
  <c r="O13" i="13"/>
  <c r="O12" i="13"/>
  <c r="O34" i="13"/>
  <c r="O32" i="13"/>
  <c r="O7" i="13"/>
  <c r="O35" i="13"/>
  <c r="O33" i="13"/>
  <c r="O26" i="13"/>
  <c r="O4" i="13"/>
  <c r="O43" i="13"/>
  <c r="O30" i="13"/>
  <c r="O6" i="13"/>
  <c r="O23" i="13"/>
  <c r="O31" i="13"/>
  <c r="O29" i="13"/>
  <c r="O5" i="13"/>
  <c r="O9" i="13"/>
  <c r="O10" i="13"/>
  <c r="O11" i="13"/>
  <c r="O15" i="13"/>
  <c r="O17" i="13"/>
  <c r="O18" i="13"/>
  <c r="O20" i="13"/>
  <c r="O21" i="13"/>
  <c r="O27" i="13"/>
  <c r="I6" i="19"/>
  <c r="I5" i="19"/>
  <c r="I4" i="19"/>
  <c r="I8" i="19" s="1"/>
  <c r="J8" i="19" s="1"/>
  <c r="J6" i="15" l="1"/>
  <c r="O46" i="13"/>
  <c r="O15" i="11" l="1"/>
  <c r="I15" i="12" s="1"/>
  <c r="O14" i="11"/>
  <c r="I14" i="12" s="1"/>
  <c r="O11" i="11"/>
  <c r="I11" i="12" s="1"/>
  <c r="O9" i="11"/>
  <c r="I9" i="12" s="1"/>
  <c r="O5" i="11"/>
  <c r="I5" i="12" s="1"/>
  <c r="D21" i="9"/>
  <c r="E21" i="9"/>
  <c r="F21" i="9"/>
  <c r="G21" i="9"/>
  <c r="H21" i="9"/>
  <c r="I21" i="9"/>
  <c r="J21" i="9"/>
  <c r="K21" i="9"/>
  <c r="L21" i="9"/>
  <c r="M21" i="9"/>
  <c r="N21" i="9"/>
  <c r="C21" i="9"/>
  <c r="C16" i="9"/>
  <c r="C26" i="6" l="1"/>
  <c r="D26" i="6"/>
  <c r="E26" i="6"/>
  <c r="F26" i="6"/>
  <c r="G26" i="6"/>
  <c r="I26" i="6"/>
  <c r="J26" i="6"/>
  <c r="H13" i="6"/>
  <c r="H26" i="6" s="1"/>
  <c r="C30" i="6" s="1"/>
  <c r="I12" i="12" l="1"/>
  <c r="O6" i="11"/>
  <c r="I6" i="12" s="1"/>
  <c r="O16" i="11"/>
  <c r="I16" i="12" s="1"/>
  <c r="O13" i="11"/>
  <c r="I13" i="12" s="1"/>
  <c r="I17" i="12" s="1"/>
  <c r="O12" i="11"/>
  <c r="O7" i="11"/>
  <c r="I7" i="12" s="1"/>
  <c r="O8" i="11"/>
  <c r="I8" i="12" s="1"/>
  <c r="O4" i="11"/>
  <c r="I4" i="12" s="1"/>
  <c r="I10" i="12" s="1"/>
  <c r="N10" i="11"/>
  <c r="D17" i="11"/>
  <c r="D23" i="11" s="1"/>
  <c r="D29" i="11" s="1"/>
  <c r="E17" i="11"/>
  <c r="E23" i="11" s="1"/>
  <c r="E29" i="11" s="1"/>
  <c r="F17" i="11"/>
  <c r="F23" i="11" s="1"/>
  <c r="F29" i="11" s="1"/>
  <c r="G17" i="11"/>
  <c r="G23" i="11" s="1"/>
  <c r="G29" i="11" s="1"/>
  <c r="H17" i="11"/>
  <c r="H23" i="11" s="1"/>
  <c r="H29" i="11" s="1"/>
  <c r="I17" i="11"/>
  <c r="I23" i="11" s="1"/>
  <c r="I29" i="11" s="1"/>
  <c r="J17" i="11"/>
  <c r="J23" i="11" s="1"/>
  <c r="J29" i="11" s="1"/>
  <c r="K17" i="11"/>
  <c r="K23" i="11" s="1"/>
  <c r="K29" i="11" s="1"/>
  <c r="L17" i="11"/>
  <c r="L23" i="11" s="1"/>
  <c r="L29" i="11" s="1"/>
  <c r="M17" i="11"/>
  <c r="M23" i="11" s="1"/>
  <c r="M29" i="11" s="1"/>
  <c r="N17" i="11"/>
  <c r="N23" i="11" s="1"/>
  <c r="N29" i="11" s="1"/>
  <c r="D12" i="11"/>
  <c r="E12" i="11"/>
  <c r="F12" i="11"/>
  <c r="G12" i="11"/>
  <c r="H12" i="11"/>
  <c r="I12" i="11"/>
  <c r="J12" i="11"/>
  <c r="K12" i="11"/>
  <c r="L12" i="11"/>
  <c r="M12" i="11"/>
  <c r="N12" i="11"/>
  <c r="D10" i="11"/>
  <c r="E10" i="11"/>
  <c r="F10" i="11"/>
  <c r="G10" i="11"/>
  <c r="H10" i="11"/>
  <c r="H22" i="11" s="1"/>
  <c r="I10" i="11"/>
  <c r="I22" i="11" s="1"/>
  <c r="J10" i="11"/>
  <c r="K10" i="11"/>
  <c r="L10" i="11"/>
  <c r="M10" i="11"/>
  <c r="C17" i="11"/>
  <c r="C23" i="11" s="1"/>
  <c r="C29" i="11" s="1"/>
  <c r="C12" i="11"/>
  <c r="C10" i="11"/>
  <c r="G22" i="11" l="1"/>
  <c r="J22" i="11"/>
  <c r="J18" i="11"/>
  <c r="I28" i="11"/>
  <c r="I25" i="11"/>
  <c r="I26" i="11" s="1"/>
  <c r="F22" i="11"/>
  <c r="F18" i="11"/>
  <c r="C22" i="11"/>
  <c r="C18" i="11"/>
  <c r="M22" i="11"/>
  <c r="N22" i="11"/>
  <c r="N18" i="11"/>
  <c r="H28" i="11"/>
  <c r="H25" i="11"/>
  <c r="H26" i="11" s="1"/>
  <c r="E22" i="11"/>
  <c r="L22" i="11"/>
  <c r="D22" i="11"/>
  <c r="G28" i="11"/>
  <c r="G25" i="11"/>
  <c r="G26" i="11" s="1"/>
  <c r="K22" i="11"/>
  <c r="K18" i="11"/>
  <c r="I18" i="12"/>
  <c r="I19" i="12" s="1"/>
  <c r="K28" i="12" s="1"/>
  <c r="M18" i="11"/>
  <c r="L18" i="11"/>
  <c r="I18" i="11"/>
  <c r="H18" i="11"/>
  <c r="G18" i="11"/>
  <c r="E18" i="11"/>
  <c r="D18" i="11"/>
  <c r="O17" i="11"/>
  <c r="O10" i="11"/>
  <c r="O18" i="11" s="1"/>
  <c r="I16" i="10"/>
  <c r="I44" i="10"/>
  <c r="I39" i="10"/>
  <c r="I32" i="10"/>
  <c r="I21" i="10"/>
  <c r="I33" i="10" l="1"/>
  <c r="I34" i="10" s="1"/>
  <c r="R14" i="10" s="1"/>
  <c r="E25" i="11"/>
  <c r="E26" i="11" s="1"/>
  <c r="E28" i="11"/>
  <c r="F28" i="11"/>
  <c r="F25" i="11"/>
  <c r="F26" i="11" s="1"/>
  <c r="L25" i="11"/>
  <c r="L26" i="11" s="1"/>
  <c r="L28" i="11"/>
  <c r="C28" i="11"/>
  <c r="C25" i="11"/>
  <c r="C26" i="11" s="1"/>
  <c r="N25" i="11"/>
  <c r="N26" i="11" s="1"/>
  <c r="N28" i="11"/>
  <c r="D28" i="11"/>
  <c r="D25" i="11"/>
  <c r="D26" i="11" s="1"/>
  <c r="K25" i="11"/>
  <c r="K26" i="11" s="1"/>
  <c r="K28" i="11"/>
  <c r="I45" i="10"/>
  <c r="I46" i="10" s="1"/>
  <c r="R37" i="10" s="1"/>
  <c r="M25" i="11"/>
  <c r="M26" i="11" s="1"/>
  <c r="M28" i="11"/>
  <c r="J25" i="11"/>
  <c r="J26" i="11" s="1"/>
  <c r="J28" i="11"/>
  <c r="O41" i="9"/>
  <c r="O40" i="9"/>
  <c r="O20" i="9"/>
  <c r="O13" i="9"/>
  <c r="O12" i="9"/>
  <c r="O39" i="9"/>
  <c r="O38" i="9"/>
  <c r="O35" i="9"/>
  <c r="O36" i="9" s="1"/>
  <c r="O24" i="9"/>
  <c r="O29" i="9"/>
  <c r="O25" i="9"/>
  <c r="O26" i="9"/>
  <c r="O27" i="9"/>
  <c r="O28" i="9"/>
  <c r="O23" i="9"/>
  <c r="O19" i="9"/>
  <c r="O18" i="9"/>
  <c r="O7" i="9"/>
  <c r="O6" i="9"/>
  <c r="O8" i="9"/>
  <c r="O9" i="9"/>
  <c r="O10" i="9"/>
  <c r="O11" i="9"/>
  <c r="O14" i="9"/>
  <c r="O15" i="9"/>
  <c r="O5" i="9"/>
  <c r="D42" i="9"/>
  <c r="E42" i="9"/>
  <c r="F42" i="9"/>
  <c r="G42" i="9"/>
  <c r="H42" i="9"/>
  <c r="I42" i="9"/>
  <c r="J42" i="9"/>
  <c r="K42" i="9"/>
  <c r="L42" i="9"/>
  <c r="L44" i="9" s="1"/>
  <c r="M42" i="9"/>
  <c r="N42" i="9"/>
  <c r="D36" i="9"/>
  <c r="E36" i="9"/>
  <c r="F36" i="9"/>
  <c r="G36" i="9"/>
  <c r="H36" i="9"/>
  <c r="I36" i="9"/>
  <c r="J36" i="9"/>
  <c r="K36" i="9"/>
  <c r="L36" i="9"/>
  <c r="M36" i="9"/>
  <c r="N36" i="9"/>
  <c r="D30" i="9"/>
  <c r="D32" i="9" s="1"/>
  <c r="E30" i="9"/>
  <c r="F30" i="9"/>
  <c r="G30" i="9"/>
  <c r="H30" i="9"/>
  <c r="I30" i="9"/>
  <c r="J30" i="9"/>
  <c r="K30" i="9"/>
  <c r="L30" i="9"/>
  <c r="M30" i="9"/>
  <c r="N30" i="9"/>
  <c r="E16" i="9"/>
  <c r="F16" i="9"/>
  <c r="G16" i="9"/>
  <c r="H16" i="9"/>
  <c r="I16" i="9"/>
  <c r="J16" i="9"/>
  <c r="K16" i="9"/>
  <c r="L16" i="9"/>
  <c r="M16" i="9"/>
  <c r="N16" i="9"/>
  <c r="D16" i="9"/>
  <c r="C42" i="9"/>
  <c r="C36" i="9"/>
  <c r="C30" i="9"/>
  <c r="C32" i="9" s="1"/>
  <c r="O21" i="9" l="1"/>
  <c r="T46" i="9" s="1"/>
  <c r="O16" i="9"/>
  <c r="T48" i="9" s="1"/>
  <c r="I48" i="10"/>
  <c r="O30" i="9"/>
  <c r="F44" i="9"/>
  <c r="C44" i="9"/>
  <c r="G44" i="9"/>
  <c r="O42" i="9"/>
  <c r="O44" i="9" s="1"/>
  <c r="N44" i="9"/>
  <c r="M44" i="9"/>
  <c r="K44" i="9"/>
  <c r="J44" i="9"/>
  <c r="I44" i="9"/>
  <c r="H44" i="9"/>
  <c r="E44" i="9"/>
  <c r="D44" i="9"/>
  <c r="M32" i="9"/>
  <c r="L32" i="9"/>
  <c r="L46" i="9" s="1"/>
  <c r="J32" i="9"/>
  <c r="F32" i="9"/>
  <c r="N32" i="9"/>
  <c r="K32" i="9"/>
  <c r="I32" i="9"/>
  <c r="H32" i="9"/>
  <c r="G32" i="9"/>
  <c r="E32" i="9"/>
  <c r="M46" i="9" l="1"/>
  <c r="T47" i="9"/>
  <c r="O32" i="9"/>
  <c r="O46" i="9" s="1"/>
  <c r="F46" i="9"/>
  <c r="E46" i="9"/>
  <c r="T49" i="9"/>
  <c r="C46" i="9"/>
  <c r="K46" i="9"/>
  <c r="D46" i="9"/>
  <c r="G46" i="9"/>
  <c r="J46" i="9"/>
  <c r="I46" i="9"/>
  <c r="N46" i="9"/>
  <c r="H46" i="9"/>
</calcChain>
</file>

<file path=xl/sharedStrings.xml><?xml version="1.0" encoding="utf-8"?>
<sst xmlns="http://schemas.openxmlformats.org/spreadsheetml/2006/main" count="2273" uniqueCount="790">
  <si>
    <t>SÍSMICA 2D REGISTRADA EN ÁREAS EN EXPLORACIÓN (KM)</t>
  </si>
  <si>
    <t>Compañía</t>
  </si>
  <si>
    <t>Lote</t>
  </si>
  <si>
    <t>GOLD OIL</t>
  </si>
  <si>
    <t>XXI</t>
  </si>
  <si>
    <t>VETRA</t>
  </si>
  <si>
    <t>XXV</t>
  </si>
  <si>
    <t>OLIMPYC</t>
  </si>
  <si>
    <t>XIII</t>
  </si>
  <si>
    <t xml:space="preserve">TOTAL  COSTA </t>
  </si>
  <si>
    <t xml:space="preserve">SAVIA </t>
  </si>
  <si>
    <t>Z-33</t>
  </si>
  <si>
    <t>ANADARKO</t>
  </si>
  <si>
    <t>Z-61</t>
  </si>
  <si>
    <t>Z-62</t>
  </si>
  <si>
    <t>Z-63</t>
  </si>
  <si>
    <t>CONVENIO GX-T</t>
  </si>
  <si>
    <t>Otros (*)</t>
  </si>
  <si>
    <t>1 031</t>
  </si>
  <si>
    <t>5 614</t>
  </si>
  <si>
    <t xml:space="preserve">TOTAL  ZÓCALO </t>
  </si>
  <si>
    <t>1 292</t>
  </si>
  <si>
    <t>PETROLÍFERA</t>
  </si>
  <si>
    <t>SUBANDEAN</t>
  </si>
  <si>
    <t>GRAN TIERRA</t>
  </si>
  <si>
    <t>CNPC</t>
  </si>
  <si>
    <t>CEPSA</t>
  </si>
  <si>
    <t>PACIFIC STRATUS</t>
  </si>
  <si>
    <t>PLUSPETROL</t>
  </si>
  <si>
    <t>REPSOL</t>
  </si>
  <si>
    <t>TOTAL  SELVA</t>
  </si>
  <si>
    <t>1 063</t>
  </si>
  <si>
    <t>TOTAL PAÍS</t>
  </si>
  <si>
    <t>1 333</t>
  </si>
  <si>
    <t>2 036</t>
  </si>
  <si>
    <t>6 427</t>
  </si>
  <si>
    <t>BPZ</t>
  </si>
  <si>
    <t>Z-1</t>
  </si>
  <si>
    <t>1 520</t>
  </si>
  <si>
    <t>Z-46</t>
  </si>
  <si>
    <t>1 611</t>
  </si>
  <si>
    <t>Z-48</t>
  </si>
  <si>
    <t>2 392</t>
  </si>
  <si>
    <t>2 040</t>
  </si>
  <si>
    <t>POZOS EXPLORATORIOS PERFORADOS (Número)</t>
  </si>
  <si>
    <t>GMP</t>
  </si>
  <si>
    <t>IV</t>
  </si>
  <si>
    <t>III</t>
  </si>
  <si>
    <t>X</t>
  </si>
  <si>
    <t>OLYMPIC</t>
  </si>
  <si>
    <t>GOLD</t>
  </si>
  <si>
    <t>UPLAND</t>
  </si>
  <si>
    <t>XXII</t>
  </si>
  <si>
    <t>XXIII</t>
  </si>
  <si>
    <t>XXIV</t>
  </si>
  <si>
    <t>FAULKNER</t>
  </si>
  <si>
    <t>XXVII</t>
  </si>
  <si>
    <t>UNIPETRO ABC</t>
  </si>
  <si>
    <t>IX</t>
  </si>
  <si>
    <t>RICOL</t>
  </si>
  <si>
    <t>XXIX</t>
  </si>
  <si>
    <t>SAVIA</t>
  </si>
  <si>
    <t>Z-2B</t>
  </si>
  <si>
    <t>BPZ EXPLORACIÓN Y EXPLOTACIÓN S.R.L.</t>
  </si>
  <si>
    <t>KEI</t>
  </si>
  <si>
    <t>Z-38</t>
  </si>
  <si>
    <t xml:space="preserve">TALISMAN </t>
  </si>
  <si>
    <t>HUNT OIL</t>
  </si>
  <si>
    <t>CONSULTORA</t>
  </si>
  <si>
    <t>PETROMINERALES</t>
  </si>
  <si>
    <t xml:space="preserve">ANDEAN </t>
  </si>
  <si>
    <t xml:space="preserve">CONTRATOS EN EXPLORACIÓN VIGENTES </t>
  </si>
  <si>
    <t>Compañías/ Consorcios</t>
  </si>
  <si>
    <t xml:space="preserve">Decreto </t>
  </si>
  <si>
    <t>Fecha</t>
  </si>
  <si>
    <t>Tipo</t>
  </si>
  <si>
    <t>Supremo</t>
  </si>
  <si>
    <t>D.S.</t>
  </si>
  <si>
    <t>Suscripción</t>
  </si>
  <si>
    <t>Contrato</t>
  </si>
  <si>
    <t>GOLD OIL PERU S.A.C (100%)</t>
  </si>
  <si>
    <t>024-2006-EM</t>
  </si>
  <si>
    <t>LICENCIA</t>
  </si>
  <si>
    <t>UPLAND OIL &amp; GAS LLC (100%)</t>
  </si>
  <si>
    <t>062-2007-EM</t>
  </si>
  <si>
    <t>PETRO BAYOVAR INC. S.A., SUCURSAL DEL PERU (100%)</t>
  </si>
  <si>
    <t>023-2009-EM</t>
  </si>
  <si>
    <t>RICOIL S.A.</t>
  </si>
  <si>
    <t>026-2015-EM</t>
  </si>
  <si>
    <t xml:space="preserve"> 013-2007-EM</t>
  </si>
  <si>
    <t>052-2008-EM</t>
  </si>
  <si>
    <t xml:space="preserve">083-2009-EM </t>
  </si>
  <si>
    <t>ANADARKO PERÚ B.V., SUCURSAL DEL PERÚ (100%)</t>
  </si>
  <si>
    <t>029-2017-EM</t>
  </si>
  <si>
    <t>030-2017-EM</t>
  </si>
  <si>
    <t>031-2017-EM</t>
  </si>
  <si>
    <t>026-2004-EM</t>
  </si>
  <si>
    <t>A/D 086-2005</t>
  </si>
  <si>
    <t>042-2006-EM</t>
  </si>
  <si>
    <t>063-2007-EM</t>
  </si>
  <si>
    <t>011-2010-EM</t>
  </si>
  <si>
    <t>PETROLÍFERA PETROLEUM  DEL PERU S.A.C.( 100%)</t>
  </si>
  <si>
    <t>029-2005-EM</t>
  </si>
  <si>
    <t>A/D 109-2007</t>
  </si>
  <si>
    <t>036-2005-EM</t>
  </si>
  <si>
    <t>051-2008-EM</t>
  </si>
  <si>
    <t>065-2010-EM</t>
  </si>
  <si>
    <t>066-2006-EM</t>
  </si>
  <si>
    <t>TOTAL CONTRATOS EXPLORACIÓN</t>
  </si>
  <si>
    <t>ZONA</t>
  </si>
  <si>
    <t>LOTE</t>
  </si>
  <si>
    <t>OPERADOR</t>
  </si>
  <si>
    <t>FASE</t>
  </si>
  <si>
    <t>ÚLTIMO DÍA DE VIGENCIA</t>
  </si>
  <si>
    <t>SELVA</t>
  </si>
  <si>
    <t>Exploración</t>
  </si>
  <si>
    <t>TOTAL</t>
  </si>
  <si>
    <t xml:space="preserve">POZOS DE DESARROLLO PERFORADOS (Número) </t>
  </si>
  <si>
    <t>I</t>
  </si>
  <si>
    <t>V</t>
  </si>
  <si>
    <t>SAPET</t>
  </si>
  <si>
    <t>VII/VI</t>
  </si>
  <si>
    <t>PETROMONT</t>
  </si>
  <si>
    <t>XV</t>
  </si>
  <si>
    <t>Z-6</t>
  </si>
  <si>
    <t>PERENCO</t>
  </si>
  <si>
    <t>TOTAL PAIS</t>
  </si>
  <si>
    <t>Decreto</t>
  </si>
  <si>
    <t>Fecha de Publicación</t>
  </si>
  <si>
    <t>Fecha de Suscripción</t>
  </si>
  <si>
    <t>Tipo de Contrato</t>
  </si>
  <si>
    <t>G. M. P.  S.A. (100%)</t>
  </si>
  <si>
    <t xml:space="preserve">030-91 EM </t>
  </si>
  <si>
    <t>SERVICIOS</t>
  </si>
  <si>
    <t xml:space="preserve">025-93-EM  </t>
  </si>
  <si>
    <t xml:space="preserve">25-95-EM </t>
  </si>
  <si>
    <t xml:space="preserve">028-98-EM  </t>
  </si>
  <si>
    <t>019-2002-EM</t>
  </si>
  <si>
    <t>II</t>
  </si>
  <si>
    <t>PETROLERA MONTERRICO S.A. (100%)</t>
  </si>
  <si>
    <t xml:space="preserve">039-95-EM   </t>
  </si>
  <si>
    <t xml:space="preserve">018-97-EM  </t>
  </si>
  <si>
    <t xml:space="preserve">031-99-EM     </t>
  </si>
  <si>
    <t xml:space="preserve"> 013-2004-EM </t>
  </si>
  <si>
    <t xml:space="preserve">001-2005-EM </t>
  </si>
  <si>
    <t>030-2005-EM</t>
  </si>
  <si>
    <t>004-2015-EM</t>
  </si>
  <si>
    <t>005-2015-EM</t>
  </si>
  <si>
    <t>G. M. P.   S.A. (100%)</t>
  </si>
  <si>
    <t xml:space="preserve">038-93 -EM   </t>
  </si>
  <si>
    <t>031-2002-EM</t>
  </si>
  <si>
    <t>VI / VII</t>
  </si>
  <si>
    <t>SAPET DEVELOPMENT PERU INC.,SUC.PERU (100%)</t>
  </si>
  <si>
    <t>040-93-EM</t>
  </si>
  <si>
    <t>001-96-EM</t>
  </si>
  <si>
    <t>005-2000-EM</t>
  </si>
  <si>
    <t>016-2003-EM</t>
  </si>
  <si>
    <t>003-2006-EM</t>
  </si>
  <si>
    <t>048-2014-EM</t>
  </si>
  <si>
    <t>-</t>
  </si>
  <si>
    <t>EMPRESA PETROLERA UNIPETRO ABC S.A.C. (100%)</t>
  </si>
  <si>
    <t>014-2015-EM</t>
  </si>
  <si>
    <t>CNPC  PERU S.A. (100%)</t>
  </si>
  <si>
    <t>15-94-EM</t>
  </si>
  <si>
    <t>33-96-EM</t>
  </si>
  <si>
    <t>42-96-EM</t>
  </si>
  <si>
    <t xml:space="preserve">006-2000-EM </t>
  </si>
  <si>
    <t xml:space="preserve">027-2001-EM </t>
  </si>
  <si>
    <t xml:space="preserve">020-2004-EM </t>
  </si>
  <si>
    <t>035-2004-EM</t>
  </si>
  <si>
    <t>OLYMPIC PERU, INC., SUC.DEL PERU (100%)</t>
  </si>
  <si>
    <t>015-96-EM</t>
  </si>
  <si>
    <t>019-2008-EM</t>
  </si>
  <si>
    <t>013-98-EM</t>
  </si>
  <si>
    <t>001-2000-EM</t>
  </si>
  <si>
    <t>XX</t>
  </si>
  <si>
    <t>01-2006-EM</t>
  </si>
  <si>
    <t>049-2008-EM</t>
  </si>
  <si>
    <t>SAVIA PERUANA S.A. (100%)</t>
  </si>
  <si>
    <t>044-93-EM</t>
  </si>
  <si>
    <t xml:space="preserve">SERVICIOS </t>
  </si>
  <si>
    <t xml:space="preserve">052-2001-EM  </t>
  </si>
  <si>
    <t>SAVIA PERU S.A. (100%)</t>
  </si>
  <si>
    <t>005-2002-EM</t>
  </si>
  <si>
    <t xml:space="preserve">LICENCIA </t>
  </si>
  <si>
    <t>037-2005-EM</t>
  </si>
  <si>
    <t>PACIFIC STRATUS ENERGY  (100%)</t>
  </si>
  <si>
    <t xml:space="preserve"> 027-2015-EM</t>
  </si>
  <si>
    <t>16-94-EM</t>
  </si>
  <si>
    <t>030-96-EM</t>
  </si>
  <si>
    <t>028-2002-EM</t>
  </si>
  <si>
    <t xml:space="preserve"> 009-2003-EM</t>
  </si>
  <si>
    <t>15-2010-EM</t>
  </si>
  <si>
    <t>38-95-EM</t>
  </si>
  <si>
    <t>32-97-EM</t>
  </si>
  <si>
    <t>048-99-EM</t>
  </si>
  <si>
    <t>007-2001-EM</t>
  </si>
  <si>
    <t>008-2003-EM</t>
  </si>
  <si>
    <t>044-2005-EM</t>
  </si>
  <si>
    <t>056-2007-EM</t>
  </si>
  <si>
    <t>PETROLEOS DEL PERU -PETROPERU S.A. (100%)</t>
  </si>
  <si>
    <t xml:space="preserve">33-95-EM        </t>
  </si>
  <si>
    <t xml:space="preserve">049-99-EM        </t>
  </si>
  <si>
    <t xml:space="preserve">005-2001-EM     </t>
  </si>
  <si>
    <t xml:space="preserve">006-2004-EM     </t>
  </si>
  <si>
    <t>027-2004-EM</t>
  </si>
  <si>
    <t>077-2007-EM</t>
  </si>
  <si>
    <t>009-2010-EM</t>
  </si>
  <si>
    <t>021-2010-EM</t>
  </si>
  <si>
    <t xml:space="preserve"> 011-2013-EM</t>
  </si>
  <si>
    <t>21-94-EM</t>
  </si>
  <si>
    <t>31-C</t>
  </si>
  <si>
    <t xml:space="preserve">AGUAYTIA ENERGY DEL PERU S. R. L (100%) </t>
  </si>
  <si>
    <t>26-96-EM</t>
  </si>
  <si>
    <t xml:space="preserve">021-99-EM   </t>
  </si>
  <si>
    <t>036-2001-EM</t>
  </si>
  <si>
    <t>033-2004-EM</t>
  </si>
  <si>
    <t>039-2006-EM</t>
  </si>
  <si>
    <t>066-2009-EM</t>
  </si>
  <si>
    <t>CNPC PERU S.A. (100%)</t>
  </si>
  <si>
    <t>017-2005-EM</t>
  </si>
  <si>
    <t>009-2013-EM</t>
  </si>
  <si>
    <t>019-2014-EM</t>
  </si>
  <si>
    <t>021-2000-EM</t>
  </si>
  <si>
    <t>032-2003-EM</t>
  </si>
  <si>
    <t>023-2004-EM</t>
  </si>
  <si>
    <t>006-2006-EM</t>
  </si>
  <si>
    <t>040-2006-EM</t>
  </si>
  <si>
    <t>064-2006-EM</t>
  </si>
  <si>
    <t>063-2009-EM</t>
  </si>
  <si>
    <t>31-E</t>
  </si>
  <si>
    <t>043-2003-EM</t>
  </si>
  <si>
    <t>048-2006-EM</t>
  </si>
  <si>
    <t>055-2007-EM</t>
  </si>
  <si>
    <t>075-2007-EM</t>
  </si>
  <si>
    <t>042-2008-EM</t>
  </si>
  <si>
    <t>010-2005-EM</t>
  </si>
  <si>
    <t>TOTAL CONTRATOS EXPLOTACIÓN</t>
  </si>
  <si>
    <t>PRODUCCIÓN FISCALIZADA MENSUAL DE HIDROCARBUROS LÍQUIDOS (BLS)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</si>
  <si>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</si>
  <si>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</si>
  <si>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</si>
  <si>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</si>
  <si>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</si>
  <si>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</si>
  <si>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</si>
  <si>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</si>
  <si>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</si>
  <si>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</si>
  <si>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</si>
  <si>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</si>
  <si>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  PETRÓLEO</t>
  </si>
  <si>
    <t>PET. MONTERRICO</t>
  </si>
  <si>
    <t>VI/VII</t>
  </si>
  <si>
    <t>UNIPETRO</t>
  </si>
  <si>
    <t xml:space="preserve">TOTAL COSTA </t>
  </si>
  <si>
    <t>TOTAL  ZÓCALO</t>
  </si>
  <si>
    <t>PLUSPETROL NORTE</t>
  </si>
  <si>
    <t>PETROTAL</t>
  </si>
  <si>
    <t>MAPLE</t>
  </si>
  <si>
    <t>31-B/31-D</t>
  </si>
  <si>
    <t>TOTAL SELVA</t>
  </si>
  <si>
    <t>TOTAL PAÍS PETROLEO</t>
  </si>
  <si>
    <t>LÍQUIDOS DEL GAS NATURAL</t>
  </si>
  <si>
    <t>TOTAL ZÓCALO</t>
  </si>
  <si>
    <t xml:space="preserve">AGUAYTIA  </t>
  </si>
  <si>
    <t xml:space="preserve">TOTAL SELVA </t>
  </si>
  <si>
    <t>TOTAL PAIS LÍQUIDOS DEL GAS NATURAL</t>
  </si>
  <si>
    <t>TOTAL PAIS HIDROCARBUROS LIQUIDOS (BLS)</t>
  </si>
  <si>
    <t xml:space="preserve">PRODUCCIÓN FISCALIZADA ANUAL DE HIDROCARBUROS LÍQUIDOS (MBLS) </t>
  </si>
  <si>
    <t xml:space="preserve">II </t>
  </si>
  <si>
    <t>VII-VI</t>
  </si>
  <si>
    <t xml:space="preserve">Z-2B  </t>
  </si>
  <si>
    <t xml:space="preserve">TOTAL ZÓCALO </t>
  </si>
  <si>
    <t>1-AB</t>
  </si>
  <si>
    <t>31 B / D</t>
  </si>
  <si>
    <t xml:space="preserve">31-E  </t>
  </si>
  <si>
    <t>TOTAL PETRÓLEO (MBLS)</t>
  </si>
  <si>
    <t>TOTAL PETRÓLEO (MBPD))</t>
  </si>
  <si>
    <t>LÍQUIDOS DE GAS NATURAL</t>
  </si>
  <si>
    <t>AGUAYTIA</t>
  </si>
  <si>
    <t>31 C</t>
  </si>
  <si>
    <t>TOTAL LÍQUIDOS DE GAS NATURAL (MBLS)</t>
  </si>
  <si>
    <t>TOTAL LÍQUIDOS DE GAS NATURAL (MBPD)</t>
  </si>
  <si>
    <t>TOTAL HIDROCARBUROS LÍQUIDOS (MBLS)</t>
  </si>
  <si>
    <t>TOTAL HIDROCARBUROS LÍQUIDOS (MBPD)</t>
  </si>
  <si>
    <t>PRODUCCIÓN FISCALIZADA MENSUAL DE GAS NATURAL (MPC)</t>
  </si>
  <si>
    <t>Total</t>
  </si>
  <si>
    <t xml:space="preserve">TOTAL ZOCALO </t>
  </si>
  <si>
    <t xml:space="preserve">PLUSPETROL </t>
  </si>
  <si>
    <t>PRODUCCIÓN FISCALIZADA ANUAL DE GAS NATURAL  (MMPC)</t>
  </si>
  <si>
    <t>OLIMPIC</t>
  </si>
  <si>
    <t>TOTAL PAIS (MMPCD)</t>
  </si>
  <si>
    <t>INVERSIONES EN EXPLORACIÓN Y EXPLOTACIÓN POR CONTRATISTA (US$ MILLONES)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</si>
  <si>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</si>
  <si>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</si>
  <si>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</si>
  <si>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</si>
  <si>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</si>
  <si>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</si>
  <si>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</si>
  <si>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</si>
  <si>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</si>
  <si>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</si>
  <si>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</si>
  <si>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</si>
  <si>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AGUAYTIA ENERGY DEL PERÚ S.R.L.</t>
  </si>
  <si>
    <t xml:space="preserve">-   </t>
  </si>
  <si>
    <t>CEPSA PERUANA S.AC.</t>
  </si>
  <si>
    <t>CNPC PERU S.A.</t>
  </si>
  <si>
    <t>PACIFIC STRATUS ENERGY DEL PERÚ S.A.</t>
  </si>
  <si>
    <t>COMPAÑÍA CONSULTORA DE PETROLEO S.A.</t>
  </si>
  <si>
    <t>EMPRESA PETROLERA UNIPETRO ABC S.A.C.</t>
  </si>
  <si>
    <t>G.M.P. S.A.</t>
  </si>
  <si>
    <t>GEOPARK PERÚ S.A.C.</t>
  </si>
  <si>
    <t>GOLD OIL PERÚ S.A.C.</t>
  </si>
  <si>
    <t>PETROTAL PERU S.R.L.</t>
  </si>
  <si>
    <t>PERENCO PERU PETROLEUM LIMITED, SUCURSAL DEL PERÚ</t>
  </si>
  <si>
    <t xml:space="preserve"> GRAÑA Y MONTERO PETROLERA S.A. </t>
  </si>
  <si>
    <t>KEI (PERU Z-38) PTY LTD., SUCURSAL DEL PERU</t>
  </si>
  <si>
    <t>MAPLE GAS CORPORATION DEL PERÚ S.R.L.</t>
  </si>
  <si>
    <t>31B y 31D</t>
  </si>
  <si>
    <t>31E</t>
  </si>
  <si>
    <t>OLYMPIC PERU INC., SUCURSAL DEL PERÚ S.A.</t>
  </si>
  <si>
    <t>PACIFIC STRATUS ENERGY DEL PERÚ</t>
  </si>
  <si>
    <t>PETROLERA MONTERRICO S.A.</t>
  </si>
  <si>
    <t>PETRO BAYOVAR INC., SUCURSAL DEL PERU</t>
  </si>
  <si>
    <t>PETROLERA MONTERICO S.A.</t>
  </si>
  <si>
    <t>PETROLÍFERA PETROLEUM DEL PERÚ S.R.L.</t>
  </si>
  <si>
    <t>PLUSPETROL LOTE 56 S.A.</t>
  </si>
  <si>
    <t>PLUPSETROL NORTE S.A.</t>
  </si>
  <si>
    <t>PLUSPETROL PERU CORPORATION S.A.</t>
  </si>
  <si>
    <t>REPSOL EXPLORACION PERU, SUCURSAL DEL PERU</t>
  </si>
  <si>
    <t>SAPET DEVELOPMENT PERU INC., SUCURSAL DEL PERU</t>
  </si>
  <si>
    <t>VII_VI</t>
  </si>
  <si>
    <t>SAVIA PERU S.A.</t>
  </si>
  <si>
    <t>ANADARKO PERU B.V. SUCURSAL PERUANA</t>
  </si>
  <si>
    <t>UPLAND OIL AND GAS L.L.C., SUCURSAL DEL PERU</t>
  </si>
  <si>
    <t>EXPLORACIÓN</t>
  </si>
  <si>
    <t>EXPLOTACIÓN</t>
  </si>
  <si>
    <t>INVERSIONES EN EXPLORACIÓN Y EXPLOTACIÓN (US$ MILLONES)</t>
  </si>
  <si>
    <t>Fase</t>
  </si>
  <si>
    <t>REGALÍAS COBRADAS POR EL ESTADO (US$ Millones)</t>
  </si>
  <si>
    <t>HIDROCARBUROS LÍQUIDOS</t>
  </si>
  <si>
    <t>G.M.P</t>
  </si>
  <si>
    <t>VI-VII</t>
  </si>
  <si>
    <t>TOTAL NORTE</t>
  </si>
  <si>
    <t xml:space="preserve">AGUAYTIA </t>
  </si>
  <si>
    <t xml:space="preserve"> TOTAL H.L.</t>
  </si>
  <si>
    <t>GAS NATURAL </t>
  </si>
  <si>
    <t>88 melchorita</t>
  </si>
  <si>
    <t>88 Pt. Pisco</t>
  </si>
  <si>
    <t>56 Mercado ext.</t>
  </si>
  <si>
    <t>TOTAL G.N.</t>
  </si>
  <si>
    <t>TOTAL REGALÍAS</t>
  </si>
  <si>
    <t xml:space="preserve">RETRIBUCIONES (US$ Millones)  </t>
  </si>
  <si>
    <t xml:space="preserve">TOTAL </t>
  </si>
  <si>
    <t xml:space="preserve"> INGRESOS AL ESTADO POR TIPO DE HIDROCARBURO (US$ Millones)</t>
  </si>
  <si>
    <t>Petróleo</t>
  </si>
  <si>
    <t>Líquidos de Gas Natural</t>
  </si>
  <si>
    <t xml:space="preserve">Gas Natural </t>
  </si>
  <si>
    <t>Condensados</t>
  </si>
  <si>
    <t>TOTAL INGRESOS</t>
  </si>
  <si>
    <t>Entidad</t>
  </si>
  <si>
    <t>%        Participación</t>
  </si>
  <si>
    <t>Transferencias         Canon</t>
  </si>
  <si>
    <t>LORETO</t>
  </si>
  <si>
    <t>(D. LEY Nº 21678/D.U. 027-98)</t>
  </si>
  <si>
    <t>SERVICIO DE DEUDA</t>
  </si>
  <si>
    <t>GOBIERNO REGIONAL (vía PCM)</t>
  </si>
  <si>
    <t>UNIVERSIDAD NACIONAL AMAZONIA</t>
  </si>
  <si>
    <t>INSTITUTO PERUANO AMAZONÍA</t>
  </si>
  <si>
    <t>MUNICIPALIDADES (vía PCM)</t>
  </si>
  <si>
    <t>TOTAL LORETO</t>
  </si>
  <si>
    <t>UCAYALI</t>
  </si>
  <si>
    <t>(D. LEY Nº 23350/D.U. 027-98)</t>
  </si>
  <si>
    <t>GOBIERNO REGIONAL (Vía PCM)</t>
  </si>
  <si>
    <t>52-20</t>
  </si>
  <si>
    <t>GOBIERNO REGIONAL-INSTITUTOS</t>
  </si>
  <si>
    <t>0-3</t>
  </si>
  <si>
    <t>UNIVERSIDAD NACIONAL DE UCAYALI</t>
  </si>
  <si>
    <t>U. N. INTERCULTURAL DE LA AMAZONÍA</t>
  </si>
  <si>
    <t>40-70</t>
  </si>
  <si>
    <t>TOTAL UCAYALI</t>
  </si>
  <si>
    <t>PIURA</t>
  </si>
  <si>
    <t>(D. LEY Nº 23630)</t>
  </si>
  <si>
    <t>UNIVERSIDAD NACIONAL  DE PIURA</t>
  </si>
  <si>
    <t>UNIVERSIDAD NACIONAL  DE FRONTERA</t>
  </si>
  <si>
    <t>INSTITUTOS TECNOLÓGICOS</t>
  </si>
  <si>
    <t>TOTAL PIURA</t>
  </si>
  <si>
    <t>TUMBES</t>
  </si>
  <si>
    <t>(D. LEY Nº 23871)</t>
  </si>
  <si>
    <t>20-40</t>
  </si>
  <si>
    <t>UNIVERSIDAD NACIONAL</t>
  </si>
  <si>
    <t>70-50</t>
  </si>
  <si>
    <t>TOTAL TUMBES</t>
  </si>
  <si>
    <t>PUERTO INCA - HUANUCO (Provincia)</t>
  </si>
  <si>
    <t>TOTAL PUERTO INCA HUANUCO</t>
  </si>
  <si>
    <t>CUSCO</t>
  </si>
  <si>
    <t>(D. LEY Nº 27506)</t>
  </si>
  <si>
    <t>TOTAL CUSCO</t>
  </si>
  <si>
    <r>
      <t>SÍSMICA 3D REGISTRADA EN ÁREAS EN EXPLORACIÓN (KM</t>
    </r>
    <r>
      <rPr>
        <b/>
        <vertAlign val="superscript"/>
        <sz val="8"/>
        <color rgb="FFFFFFFF"/>
        <rFont val="Arial"/>
        <family val="2"/>
      </rPr>
      <t>2</t>
    </r>
    <r>
      <rPr>
        <b/>
        <sz val="8"/>
        <color rgb="FFFFFFFF"/>
        <rFont val="Arial"/>
        <family val="2"/>
      </rPr>
      <t>)</t>
    </r>
  </si>
  <si>
    <r>
      <t>PETRÓLEO</t>
    </r>
    <r>
      <rPr>
        <b/>
        <sz val="8"/>
        <color rgb="FF000000"/>
        <rFont val="Arial"/>
        <family val="2"/>
      </rPr>
      <t> </t>
    </r>
  </si>
  <si>
    <t>BURLINGTON</t>
  </si>
  <si>
    <t>2012 - 2019</t>
  </si>
  <si>
    <t> 2012 - 2019</t>
  </si>
  <si>
    <t>31 - E</t>
  </si>
  <si>
    <t>Explotación</t>
  </si>
  <si>
    <t>CONTRATOS TERMINADOS AL 31.12.2019</t>
  </si>
  <si>
    <t>2012 – 2019</t>
  </si>
  <si>
    <t>FRONTERA OFF SHORE</t>
  </si>
  <si>
    <t>FRONTERA</t>
  </si>
  <si>
    <t>PLUSPETROL E&amp;P</t>
  </si>
  <si>
    <t> 2013-2019</t>
  </si>
  <si>
    <t>2013-2019</t>
  </si>
  <si>
    <t>DISTRIBUCIÓN DEL CANON DE HIDROCARBUROS (Nuevos Soles) - 2019</t>
  </si>
  <si>
    <t>Z-64</t>
  </si>
  <si>
    <t>TULLOW PERU LIMITED, SUCURSAL DEL PERÚ (100%)</t>
  </si>
  <si>
    <t>AL 31/12/2019</t>
  </si>
  <si>
    <t>PETROTAL PERÚ S.R.L. (100%)</t>
  </si>
  <si>
    <t>CONTRATOS EN EXPLOTACIÓN VIGENTES AL 31/12/2019</t>
  </si>
  <si>
    <t xml:space="preserve">045-2002-EM  </t>
  </si>
  <si>
    <t xml:space="preserve">003-2004-EM  </t>
  </si>
  <si>
    <t>A/D 044-2004</t>
  </si>
  <si>
    <t xml:space="preserve"> 002-2005-EM</t>
  </si>
  <si>
    <t>060-2008-EM</t>
  </si>
  <si>
    <t xml:space="preserve"> 049-2012-EM</t>
  </si>
  <si>
    <t>9CONTRATOS EN EXPLOTACIÓN VIGENTES AL 31/12/2019</t>
  </si>
  <si>
    <t>030-2014-EM</t>
  </si>
  <si>
    <t>024-2018-EM</t>
  </si>
  <si>
    <t>REPSOL EXPLORACION PERU, SUC. DEL PERU (100%)</t>
  </si>
  <si>
    <t>PACIFIC OFF SHORE PERU S.R.L</t>
  </si>
  <si>
    <t>TULLOW PERU LIMITED, SUCURSAL DEL PERÚ</t>
  </si>
  <si>
    <t>2020-2023</t>
  </si>
  <si>
    <t>NORTE</t>
  </si>
  <si>
    <t>ZOCALO</t>
  </si>
  <si>
    <t>3-2</t>
  </si>
  <si>
    <t>012-2019-EM</t>
  </si>
  <si>
    <t>018-2012-EM</t>
  </si>
  <si>
    <t>030-2015-EM</t>
  </si>
  <si>
    <t>016-2016-EM</t>
  </si>
  <si>
    <t>006-2011-EM</t>
  </si>
  <si>
    <t xml:space="preserve"> 016-2012-EM</t>
  </si>
  <si>
    <t>KEI (PERU Z-38) PTY LTD., SUCURSAL DEL PERU (75%)
PITKIN PETROLEUM PERU Z-38 S.R.L. (25%)</t>
  </si>
  <si>
    <t xml:space="preserve">050-2010-EM </t>
  </si>
  <si>
    <t xml:space="preserve"> 009-2015-EM</t>
  </si>
  <si>
    <t>002-2017- EM</t>
  </si>
  <si>
    <t>003-2014-EM</t>
  </si>
  <si>
    <t>PLUSPETROL E&amp;P S.A. (65%)
WOODSIDE ENERGY (PERU) PTY. LTD., SUCURSAL DEL PERU (35%)</t>
  </si>
  <si>
    <t>PACIFIC STRATUS ENERGY S.A., SUCURSAL DEL PERU (50%)
MAUREL ET PROM PERU S.A.C. (50%)</t>
  </si>
  <si>
    <t>024-2010-EM</t>
  </si>
  <si>
    <t>048-2012-EM</t>
  </si>
  <si>
    <t xml:space="preserve"> 021-2013-EM</t>
  </si>
  <si>
    <t>035-2016-EM</t>
  </si>
  <si>
    <t>025-2018-EM</t>
  </si>
  <si>
    <t xml:space="preserve"> 024-2015-EM</t>
  </si>
  <si>
    <t>011-2019-EM</t>
  </si>
  <si>
    <t xml:space="preserve"> 017-2014-EM</t>
  </si>
  <si>
    <t xml:space="preserve">051-2011-EM </t>
  </si>
  <si>
    <t xml:space="preserve"> 047-2014-EM </t>
  </si>
  <si>
    <t>RS 158-1999-EM</t>
  </si>
  <si>
    <t>BPZ EXPLORACION &amp; PRODUCCION S.R.L.(51%)
FRONTERA ENERGY OFF SHORE PERU S.R.L(49%)</t>
  </si>
  <si>
    <t>PLUSPETROL NORTE S.A. (60%)
KOREA NATIONAL OIL CORP.,SUC. PERUANA(20%)
DAEWOO INTERNATIONAL CORP., SUC.PERUANA (11,67%)
SK CORPORATION, SUC. PERUANA  (8.33 %)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</si>
  <si>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</si>
  <si>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</si>
  <si>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</si>
  <si>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</si>
  <si>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</si>
  <si>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</si>
  <si>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</si>
  <si>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</si>
  <si>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</si>
  <si>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</si>
  <si>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</si>
  <si>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</si>
  <si>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 xml:space="preserve">043-2010-EM </t>
  </si>
  <si>
    <t>042-2013-EM</t>
  </si>
  <si>
    <t>PERENCO PERU PETROLEUM LIMITED, SUCURSAL DEL PERU (5%)
PERENCO PERU LIMITED, SUC. DEL PERU(95%)</t>
  </si>
  <si>
    <t>031-2016-EM</t>
  </si>
  <si>
    <t>060-2005-EM</t>
  </si>
  <si>
    <t>PLUSPETROL PERU CORPORATION  S.A (2,2%)
PLUSPETROL LOTE 56 S.A (42.6%)
HUNT OIL COMPANY OF PERU L.L.C.,SUC. PERU (25,2%)
TECPETROL BLOQUE 56 S.A.C. (10%)
SONATRACH PERU CORP. S.A.C (10%)
REPSOL EXPLORACION (10%)</t>
  </si>
  <si>
    <t>061-2005-EM</t>
  </si>
  <si>
    <t>023-2014-EM</t>
  </si>
  <si>
    <t>REPSOL EXPLORACION PERU, SUCURSAL DEL PERU (53,84%)
CNPC PERU S.A. (46,16%)</t>
  </si>
  <si>
    <t>PLUSPETROL PERU CORPORATION S.A. (2,2%)
PLUSPETROL CAMISEA S.A (42.6%)
HUNT OIL COMPANY OF PERU L.L.C.,SUC.DEL PERU (25,2%)
TECPETROL DEL PERU S.A.C. (10%)
SONATRACH PERU CORP. S.A.C (10%)
REPSOL EXPLORACION (10%)</t>
  </si>
  <si>
    <t>018-2014-EM</t>
  </si>
  <si>
    <t>CEPSA PERU S.A., SUCURSAL DEL PERU (70%)
PACIFIC STRATUS ENERGY DEL PERÚ S.A. (30%)</t>
  </si>
  <si>
    <t>013-2017-EM</t>
  </si>
  <si>
    <t xml:space="preserve"> 050-2011-EM</t>
  </si>
  <si>
    <t xml:space="preserve"> 001-2013-EM</t>
  </si>
  <si>
    <t>045-2017-EM</t>
  </si>
  <si>
    <t>Evolución de la producción fiscalizada mensual de Hidrocarburos Líquidos 2019 (BLS)</t>
  </si>
  <si>
    <t xml:space="preserve">Costa </t>
  </si>
  <si>
    <t>Zocalo</t>
  </si>
  <si>
    <t>Selva</t>
  </si>
  <si>
    <t>Participación por zona geográfica  en la  Producción  de Hidrocarburos Líquidos  - Año 2019</t>
  </si>
  <si>
    <t>ZÓCALO</t>
  </si>
  <si>
    <t>COSTA</t>
  </si>
  <si>
    <t>Gráfico N°09: Evolución de la producción fiscalizada de petróleo (MBPD)
(2013-2019)</t>
  </si>
  <si>
    <t>Gráfico N°10: Evolución de la producción fiscalizada de Líquidos de Gas Natural (MBPD)
(2013-2019)</t>
  </si>
  <si>
    <t>En el 2019, la producción de petróleo se incrementó en 8.4% con respecto al 2018.</t>
  </si>
  <si>
    <t>En el 2019, la producción fiscalizada de líquidos de gas natural se incrementó en 1.4% con respecto al 2018.</t>
  </si>
  <si>
    <t>Gráfico N°11: Proyección de la Producción Fiscalizada de
Petróleo y Líquidos de Gas Natural, 2020-2023</t>
  </si>
  <si>
    <t>Total Costa y Zócalo</t>
  </si>
  <si>
    <t xml:space="preserve">Total Selva </t>
  </si>
  <si>
    <t>Total (MMPC)</t>
  </si>
  <si>
    <t>Gráfico N°11: Producción fiscalizada de Gas Natural en el 2019</t>
  </si>
  <si>
    <t>Gráfico N°12: Evolución de la Producción Fiscalizada de Gas Natural (MMPCD), 2013-2019</t>
  </si>
  <si>
    <t>En el 2019, la producción fiscalizada de gas natural se incrementó en 5.56% con respecto al 2018.</t>
  </si>
  <si>
    <t>Gas Natural</t>
  </si>
  <si>
    <t>Gráfico N°13: Proyección de la producción fiscalizada de Gas Natural (MMPCD),</t>
  </si>
  <si>
    <t>(2020-2023)</t>
  </si>
  <si>
    <t>En el 2019, las inversiones en
Exploración se incrementaron
en 42% y las inversiones en
Explotación se incrementaron
en 0.2% con respecto al 2018.</t>
  </si>
  <si>
    <t>Gráfico N°15: Proyección de las inversiones en Exploración y Explotación de
Hidrocarburos (US$ Millones)</t>
  </si>
  <si>
    <t>Gráfico N°14: Evolución de las inversiones en Exploración y Explotación de
Hidrocarburos (US$ Millones), 2013-2019</t>
  </si>
  <si>
    <t>Gráfico N°16: Evolución de los ingresos del Estado por Contratos de Licencia y de Servicio (US$ Millones)</t>
  </si>
  <si>
    <t>Proyección de sísmica 2D (Km), 2020-2022</t>
  </si>
  <si>
    <t>Acum. (2017-2019)</t>
  </si>
  <si>
    <t>Acum. (2020-2022)</t>
  </si>
  <si>
    <t>Fuente: PERUPETRO S.A.</t>
  </si>
  <si>
    <t>Proyección de sísmica 3D (Km), 2020-2022</t>
  </si>
  <si>
    <t>Proyección del número de Pozos de Desarrollo Perforados 2020-2022</t>
  </si>
  <si>
    <t xml:space="preserve"> CARGAS A PROCESO</t>
  </si>
  <si>
    <t xml:space="preserve"> TOTAL</t>
  </si>
  <si>
    <t xml:space="preserve"> TALARA</t>
  </si>
  <si>
    <t xml:space="preserve"> IQUITOS</t>
  </si>
  <si>
    <t xml:space="preserve"> CONCHAN</t>
  </si>
  <si>
    <t xml:space="preserve"> PAMPILLA</t>
  </si>
  <si>
    <t xml:space="preserve"> PUCALLPA</t>
  </si>
  <si>
    <t xml:space="preserve"> Crudo Nacional</t>
  </si>
  <si>
    <t>Crudo Importado</t>
  </si>
  <si>
    <t>TOTAL DE CRUDO PROCESADO</t>
  </si>
  <si>
    <t xml:space="preserve"> OTRAS CARGAS</t>
  </si>
  <si>
    <r>
      <t xml:space="preserve"> </t>
    </r>
    <r>
      <rPr>
        <b/>
        <sz val="8"/>
        <color rgb="FFFFFFFF"/>
        <rFont val="Arial"/>
        <family val="2"/>
      </rPr>
      <t>PRODUCTOS EN PROCESO</t>
    </r>
  </si>
  <si>
    <t>Nafta Primaria</t>
  </si>
  <si>
    <t>Nafta Pesada</t>
  </si>
  <si>
    <t>Nafta Craqueada</t>
  </si>
  <si>
    <t>Diesel 2</t>
  </si>
  <si>
    <t>Diesel 2 S 50 PPM</t>
  </si>
  <si>
    <t>Gasoleo Liviano</t>
  </si>
  <si>
    <t>Gasoleo Pesado</t>
  </si>
  <si>
    <t>Material de Corte</t>
  </si>
  <si>
    <t>Crudo Reducido (Residual de Primaria)</t>
  </si>
  <si>
    <t>Slop</t>
  </si>
  <si>
    <t>Residual Asfaltico</t>
  </si>
  <si>
    <t>Sub Total</t>
  </si>
  <si>
    <r>
      <t xml:space="preserve"> </t>
    </r>
    <r>
      <rPr>
        <b/>
        <sz val="8"/>
        <color rgb="FFFFFFFF"/>
        <rFont val="Arial"/>
        <family val="2"/>
      </rPr>
      <t>PRODUCTOS TERMINADOS</t>
    </r>
  </si>
  <si>
    <t>Gas Licuado de Petroleo</t>
  </si>
  <si>
    <t>Gasolina Motor 97/95/90/84 Oct.</t>
  </si>
  <si>
    <t>Diesel Marino</t>
  </si>
  <si>
    <t>Diesel B5</t>
  </si>
  <si>
    <t>Diesel B5 S50 PPM</t>
  </si>
  <si>
    <t xml:space="preserve">Biodiesel B100 </t>
  </si>
  <si>
    <t>Residual Marino</t>
  </si>
  <si>
    <t>Intermediate Fuel Oil - IFO</t>
  </si>
  <si>
    <t>Petroleo Industrial 6</t>
  </si>
  <si>
    <t>Petroleo Industrial 500</t>
  </si>
  <si>
    <t>Asfaltos Líquidos RC- MC</t>
  </si>
  <si>
    <t>Asfaltos Sólidos</t>
  </si>
  <si>
    <t>Solvente 1</t>
  </si>
  <si>
    <t>Solvente 3</t>
  </si>
  <si>
    <r>
      <t xml:space="preserve"> </t>
    </r>
    <r>
      <rPr>
        <b/>
        <sz val="8"/>
        <color rgb="FFFFFFFF"/>
        <rFont val="Arial"/>
        <family val="2"/>
      </rPr>
      <t>PRODUCTOS ADQUIRIDOS</t>
    </r>
  </si>
  <si>
    <t xml:space="preserve">HOGBS </t>
  </si>
  <si>
    <t>Alcohol Carburante</t>
  </si>
  <si>
    <t xml:space="preserve">MDBS </t>
  </si>
  <si>
    <t>Condensado de Camisea</t>
  </si>
  <si>
    <t>Gasolina Natural</t>
  </si>
  <si>
    <t>Etanol</t>
  </si>
  <si>
    <t xml:space="preserve">BiodieselB100 </t>
  </si>
  <si>
    <t>ULSD</t>
  </si>
  <si>
    <t>Nafta Craqueada de Imp.</t>
  </si>
  <si>
    <t>TOTAL OTRAS CARGAS PROCESADAS</t>
  </si>
  <si>
    <t xml:space="preserve"> CARGA TOTAL PROCESADA</t>
  </si>
  <si>
    <t xml:space="preserve">PRODUCCIÓN EN REFINERÍA </t>
  </si>
  <si>
    <t>TALARA</t>
  </si>
  <si>
    <t>IQUITOS</t>
  </si>
  <si>
    <t>CONCHAN</t>
  </si>
  <si>
    <t>PAMPILLA</t>
  </si>
  <si>
    <t>PUCALLPA</t>
  </si>
  <si>
    <t>PRODUCTO</t>
  </si>
  <si>
    <t>TOTAL (MBLS)</t>
  </si>
  <si>
    <t>TOTAL (MBPD)</t>
  </si>
  <si>
    <t>%</t>
  </si>
  <si>
    <t xml:space="preserve">PRODUCTOS TERMINADOS </t>
  </si>
  <si>
    <t>GLP</t>
  </si>
  <si>
    <t>Gasolinas/Gasoholes</t>
  </si>
  <si>
    <t>Gasolina 97 Octanos</t>
  </si>
  <si>
    <t>Turbo</t>
  </si>
  <si>
    <t>Gasolina 95 Octanos</t>
  </si>
  <si>
    <t>Diesel</t>
  </si>
  <si>
    <t>Gasolina 90 Octanos</t>
  </si>
  <si>
    <t>Residuales</t>
  </si>
  <si>
    <t>Gasolina 84 Octanos</t>
  </si>
  <si>
    <t>IFO/Diesel Marino</t>
  </si>
  <si>
    <t>Gasohol 98 Plus</t>
  </si>
  <si>
    <t>Otros</t>
  </si>
  <si>
    <t>Gasohol 97 Plus</t>
  </si>
  <si>
    <t>Gasohol 95 Plus</t>
  </si>
  <si>
    <t>Gasohol 90 Plus</t>
  </si>
  <si>
    <t>Gasohol 84 Plus</t>
  </si>
  <si>
    <t xml:space="preserve">Turbo Jet A-1 </t>
  </si>
  <si>
    <t xml:space="preserve">Turbo JP-5 </t>
  </si>
  <si>
    <t>Diesel Marino 2</t>
  </si>
  <si>
    <t xml:space="preserve">Diesel B5 </t>
  </si>
  <si>
    <t>Diesel B5 - S50</t>
  </si>
  <si>
    <t>IFO</t>
  </si>
  <si>
    <t>Petróleo Industrial 6</t>
  </si>
  <si>
    <t>Petróleo Industrial 500</t>
  </si>
  <si>
    <t>Asfalto Líquido</t>
  </si>
  <si>
    <t>Asfalto Sólido</t>
  </si>
  <si>
    <t xml:space="preserve">PRODUCTOS EN PROCESO </t>
  </si>
  <si>
    <t xml:space="preserve">Gas Seco/Gas Combustible/Gas UDP </t>
  </si>
  <si>
    <t xml:space="preserve">Gas UDV </t>
  </si>
  <si>
    <t>Nafta Virgen</t>
  </si>
  <si>
    <t xml:space="preserve">Gasolina Primaria Exp./ Gasolina Base </t>
  </si>
  <si>
    <t>Diesel 2 S-50</t>
  </si>
  <si>
    <t xml:space="preserve">Gasoleo Pesado (de vacìo) </t>
  </si>
  <si>
    <t xml:space="preserve">Crudo Reducido (Residual de Primaria) </t>
  </si>
  <si>
    <t>Slop Wax</t>
  </si>
  <si>
    <t>Fuel Oil</t>
  </si>
  <si>
    <t>Combustibles de Uso Propio</t>
  </si>
  <si>
    <t xml:space="preserve">Naftoil Industrial Premium </t>
  </si>
  <si>
    <t>Recuperaciòn de Productos</t>
  </si>
  <si>
    <t>Mermas</t>
  </si>
  <si>
    <t>Pèrdidas y Ganancias</t>
  </si>
  <si>
    <t>TOTAL DE PRODUCTOS EN REFINERíA</t>
  </si>
  <si>
    <t>PRODUCCIÓN EN REFINERÍA (MILES DE BARRILES POR DÍA)</t>
  </si>
  <si>
    <t>Producto</t>
  </si>
  <si>
    <t>Gasoholes/ Gasolinas</t>
  </si>
  <si>
    <t>Residual</t>
  </si>
  <si>
    <t>PRODUCCIÓN DE LÍQUIDOS DE GAS NATURAL (MILES DE BARRILES)</t>
  </si>
  <si>
    <t>Empresa</t>
  </si>
  <si>
    <t>Condensados de Gas Natural</t>
  </si>
  <si>
    <t>Propano/Butano</t>
  </si>
  <si>
    <t>Destilados Medios</t>
  </si>
  <si>
    <t>Graña y Montero</t>
  </si>
  <si>
    <t>Aguaytía</t>
  </si>
  <si>
    <t>Pluspetrol</t>
  </si>
  <si>
    <t>Savia</t>
  </si>
  <si>
    <t xml:space="preserve">EEPSA/GMP </t>
  </si>
  <si>
    <t>Propano / Butano</t>
  </si>
  <si>
    <t xml:space="preserve"> Aguaytía </t>
  </si>
  <si>
    <t xml:space="preserve">Pluspetrol Perú Corporation </t>
  </si>
  <si>
    <t>Destilados medios</t>
  </si>
  <si>
    <t xml:space="preserve"> Procesadora de Gas Pariñas </t>
  </si>
  <si>
    <t>INVENTARIO DE COMBUSTIBLES AL 31.12.2019 (MILES DE BARRILES)</t>
  </si>
  <si>
    <t>CONCHÁN</t>
  </si>
  <si>
    <t>EL MILAGRO</t>
  </si>
  <si>
    <t>LA PAMPILLA</t>
  </si>
  <si>
    <t>TOTAL NACIONAL</t>
  </si>
  <si>
    <t>Petróleo Crudo</t>
  </si>
  <si>
    <t xml:space="preserve"> Productos en Proceso </t>
  </si>
  <si>
    <t xml:space="preserve">Nafta Liviana / Primaria </t>
  </si>
  <si>
    <t xml:space="preserve">Nafta Pesada </t>
  </si>
  <si>
    <t xml:space="preserve">Nafta Virgen </t>
  </si>
  <si>
    <t xml:space="preserve">Gasolina Natural </t>
  </si>
  <si>
    <t xml:space="preserve">Crudo Reducido (Residual de primaria) </t>
  </si>
  <si>
    <t xml:space="preserve">Gasoleo Liviano / Pesado (de vacío) </t>
  </si>
  <si>
    <t xml:space="preserve">Slop </t>
  </si>
  <si>
    <t xml:space="preserve">Slop Wax </t>
  </si>
  <si>
    <t xml:space="preserve">Gasolina Base/Primaria </t>
  </si>
  <si>
    <t xml:space="preserve">Nafta Craqueada/UCC </t>
  </si>
  <si>
    <t xml:space="preserve">Material de Corte </t>
  </si>
  <si>
    <t xml:space="preserve">Residuales </t>
  </si>
  <si>
    <t xml:space="preserve">Aceite Cíclico Ligero/Pesado </t>
  </si>
  <si>
    <t xml:space="preserve">Aceite Clarificado </t>
  </si>
  <si>
    <t xml:space="preserve">Destilados para mezcla </t>
  </si>
  <si>
    <t xml:space="preserve">Gasolina no terminadas </t>
  </si>
  <si>
    <t>Gasolina Primaria de Exportación</t>
  </si>
  <si>
    <t>Acido Nafténico</t>
  </si>
  <si>
    <t xml:space="preserve">Kerosene </t>
  </si>
  <si>
    <t xml:space="preserve">Diesel 2 </t>
  </si>
  <si>
    <t xml:space="preserve">Diesel 2 S50 </t>
  </si>
  <si>
    <t xml:space="preserve"> Productos Terminados </t>
  </si>
  <si>
    <t xml:space="preserve"> GLP </t>
  </si>
  <si>
    <t xml:space="preserve"> Gasolina 98 BA </t>
  </si>
  <si>
    <t xml:space="preserve"> Gasolina 97 Octanos - Sin Plomo </t>
  </si>
  <si>
    <t xml:space="preserve"> Gasolina 95 Octanos - Sin Plomo </t>
  </si>
  <si>
    <t xml:space="preserve"> Gasolina 90 Octanos - Sin Plomo </t>
  </si>
  <si>
    <t xml:space="preserve"> Gasolina 84 Octanos - Sin Plomo </t>
  </si>
  <si>
    <t xml:space="preserve"> Turbo Jet A-1 </t>
  </si>
  <si>
    <t xml:space="preserve"> Diesel B5  </t>
  </si>
  <si>
    <t xml:space="preserve"> Diesel B5 (S-50) </t>
  </si>
  <si>
    <t xml:space="preserve"> Diesel Marino/Marine Fuel Oil </t>
  </si>
  <si>
    <t xml:space="preserve"> I.F.O. / M.G.O. </t>
  </si>
  <si>
    <t xml:space="preserve"> Petróleo Industrial Nº5 </t>
  </si>
  <si>
    <t xml:space="preserve"> Petróleo Industrial N°6 </t>
  </si>
  <si>
    <t xml:space="preserve"> Petróleo Industrial 500 </t>
  </si>
  <si>
    <t xml:space="preserve"> Asfalto Líquido </t>
  </si>
  <si>
    <t xml:space="preserve"> Asfalto Sólido </t>
  </si>
  <si>
    <t xml:space="preserve"> Solvente 1 </t>
  </si>
  <si>
    <t xml:space="preserve"> Solvente 3 </t>
  </si>
  <si>
    <t xml:space="preserve"> Productos Adquiridos </t>
  </si>
  <si>
    <t xml:space="preserve"> Nafta Craqueada de Importación </t>
  </si>
  <si>
    <t xml:space="preserve"> HOGBS </t>
  </si>
  <si>
    <t xml:space="preserve"> Alcohol Carburante </t>
  </si>
  <si>
    <t xml:space="preserve"> Alcohol Carburante Imp. </t>
  </si>
  <si>
    <t xml:space="preserve"> Biodiesel B 100  </t>
  </si>
  <si>
    <t xml:space="preserve"> Biodiesel B 100 Imp. </t>
  </si>
  <si>
    <t xml:space="preserve"> Etanol </t>
  </si>
  <si>
    <t>VENTAS DE COMBUSTIBLES, 2013-2019 (MILES DE BARRILES)</t>
  </si>
  <si>
    <t xml:space="preserve"> Producto </t>
  </si>
  <si>
    <t>Gas Licuado de Petróleo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</si>
  <si>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</si>
  <si>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</si>
  <si>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</si>
  <si>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</si>
  <si>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</si>
  <si>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</si>
  <si>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</si>
  <si>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</si>
  <si>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 xml:space="preserve">Gasohol 84 </t>
  </si>
  <si>
    <t>Turbo A-1 / JP-5</t>
  </si>
  <si>
    <t>Diesel B-5</t>
  </si>
  <si>
    <t>Diesel B-5  S-50</t>
  </si>
  <si>
    <t>Petroleo Industrial Nº 6</t>
  </si>
  <si>
    <t xml:space="preserve">Petroleo Industrial 500 </t>
  </si>
  <si>
    <t>Diesel Marino/ I.F.O. / M.G.O.</t>
  </si>
  <si>
    <t xml:space="preserve">TOTAL (MBPD) </t>
  </si>
  <si>
    <t>Gasohol</t>
  </si>
  <si>
    <t>Diesel B5-S50</t>
  </si>
  <si>
    <t>GNV (Vehícular)</t>
  </si>
  <si>
    <t>GNV</t>
  </si>
  <si>
    <t>84 oct.</t>
  </si>
  <si>
    <t>90 oct.</t>
  </si>
  <si>
    <t>95 Oct.</t>
  </si>
  <si>
    <t>97 Oct.</t>
  </si>
  <si>
    <t>(Balón DE 10 KG)</t>
  </si>
  <si>
    <t>(Litros)</t>
  </si>
  <si>
    <r>
      <t>(M</t>
    </r>
    <r>
      <rPr>
        <b/>
        <vertAlign val="superscript"/>
        <sz val="8"/>
        <color rgb="FFFFFFFF"/>
        <rFont val="Arial"/>
        <family val="2"/>
      </rPr>
      <t>3</t>
    </r>
    <r>
      <rPr>
        <b/>
        <sz val="8"/>
        <color rgb="FFFFFFFF"/>
        <rFont val="Arial"/>
        <family val="2"/>
      </rPr>
      <t>)</t>
    </r>
  </si>
  <si>
    <t>Setiembre</t>
  </si>
  <si>
    <t>Lima</t>
  </si>
  <si>
    <t>84 Oct.</t>
  </si>
  <si>
    <t>90 Oct.</t>
  </si>
  <si>
    <t>(Balón de 10 KG)</t>
  </si>
  <si>
    <t>Arequipa</t>
  </si>
  <si>
    <t>Chiclayo</t>
  </si>
  <si>
    <t>(Balón de 10 kg)</t>
  </si>
  <si>
    <t>Chimbote</t>
  </si>
  <si>
    <t xml:space="preserve">Gasohol </t>
  </si>
  <si>
    <t>Cusco</t>
  </si>
  <si>
    <t>Huancayo</t>
  </si>
  <si>
    <t>Ica</t>
  </si>
  <si>
    <t>Moquegua</t>
  </si>
  <si>
    <t>Piura</t>
  </si>
  <si>
    <t>Puno</t>
  </si>
  <si>
    <t>Tacna</t>
  </si>
  <si>
    <t>Trujillo</t>
  </si>
  <si>
    <t>EXPORTACIONES (MILES DE BARRILES)</t>
  </si>
  <si>
    <t>Crudo</t>
  </si>
  <si>
    <t xml:space="preserve">  GLP/propano/butano</t>
  </si>
  <si>
    <t>Gasolinas</t>
  </si>
  <si>
    <t>Residuales/IFO/Fuel Oil</t>
  </si>
  <si>
    <t>EXPORTACIONES (MILES DE DÓLARES)</t>
  </si>
  <si>
    <t>IMPORTACIONES (MILES DE BARRILES)</t>
  </si>
  <si>
    <t>IMPORTACIONES (MILES DE DÓLARES)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</si>
  <si>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</si>
  <si>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</si>
  <si>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</si>
  <si>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</si>
  <si>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</si>
  <si>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</si>
  <si>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</si>
  <si>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</si>
  <si>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</si>
  <si>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</si>
  <si>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</si>
  <si>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</si>
  <si>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Lote 56</t>
  </si>
  <si>
    <t>Lote 88</t>
  </si>
  <si>
    <t>Mercado Interno</t>
  </si>
  <si>
    <t>Exportación</t>
  </si>
  <si>
    <t>Residencial</t>
  </si>
  <si>
    <t>Comercial</t>
  </si>
  <si>
    <t>Industrial</t>
  </si>
  <si>
    <t>Generación Eléctrica</t>
  </si>
  <si>
    <t>Cálidda - Volumen</t>
  </si>
  <si>
    <t>Cálidda - Consumidores (Anual)</t>
  </si>
  <si>
    <t>Cálidda - Volumen (Anual)</t>
  </si>
  <si>
    <t>Contugas - Volumen</t>
  </si>
  <si>
    <r>
      <t xml:space="preserve">Contugas </t>
    </r>
    <r>
      <rPr>
        <b/>
        <sz val="8"/>
        <color rgb="FF000000"/>
        <rFont val="Arial"/>
        <family val="2"/>
      </rPr>
      <t>- Consumidores (Anual)</t>
    </r>
  </si>
  <si>
    <r>
      <t xml:space="preserve">Contugas - </t>
    </r>
    <r>
      <rPr>
        <b/>
        <sz val="8"/>
        <color rgb="FF00A79D"/>
        <rFont val="Arial"/>
        <family val="2"/>
      </rPr>
      <t xml:space="preserve">Volumen </t>
    </r>
    <r>
      <rPr>
        <b/>
        <sz val="8"/>
        <color rgb="FF000000"/>
        <rFont val="Arial"/>
        <family val="2"/>
      </rPr>
      <t>(Anual) - MMPCD</t>
    </r>
  </si>
  <si>
    <t>Quavii - Volumen</t>
  </si>
  <si>
    <t>Quavii - Consumidores (Anual)</t>
  </si>
  <si>
    <t>Quavii - Volumen (Anual)</t>
  </si>
  <si>
    <t>Naturgy - Volumen</t>
  </si>
  <si>
    <t>SEP-18</t>
  </si>
  <si>
    <t>Naturgy - Consumidores (Anual)</t>
  </si>
  <si>
    <t>Naturgy - Volumen (Anual)</t>
  </si>
  <si>
    <t xml:space="preserve">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</si>
</sst>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0.0%"/>
    <numFmt numFmtId="169" formatCode="0.0"/>
    <numFmt numFmtId="170" formatCode="_ * #,##0.0_ ;_ * \-#,##0.0_ ;_ * &quot;-&quot;??_ ;_ @_ "/>
    <numFmt numFmtId="171" formatCode="_-* #,##0.000_-;\-* #,##0.000_-;_-* &quot;-&quot;??_-;_-@_-"/>
    <numFmt numFmtId="172" formatCode="_(* #,##0_);_(* \(#,##0\);_(* &quot;-&quot;_);_(@_)"/>
  </numFmts>
  <fonts count="3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FFFFFF"/>
      <name val="Arial"/>
      <family val="2"/>
    </font>
    <font>
      <b/>
      <sz val="8"/>
      <color rgb="FFFFFFFF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8"/>
      <color rgb="FF161616"/>
      <name val="Arial"/>
      <family val="2"/>
    </font>
    <font>
      <b/>
      <sz val="8"/>
      <color rgb="FF00A79D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920000"/>
        <bgColor indexed="64"/>
      </patternFill>
    </fill>
    <fill>
      <patternFill patternType="solid">
        <fgColor rgb="FF00638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D58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003248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2D1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1E10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456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444">
    <xf numFmtId="0" fontId="0" fillId="0" borderId="0" xfId="0"/>
    <xf numFmtId="0" fontId="1" fillId="0" borderId="0" xfId="0" applyFont="1" applyAlignment="1">
      <alignment horizontal="center" wrapText="1" readingOrder="1"/>
    </xf>
    <xf numFmtId="0" fontId="1" fillId="0" borderId="0" xfId="0" applyFont="1" applyAlignment="1">
      <alignment horizontal="right" vertical="center" wrapText="1" readingOrder="1"/>
    </xf>
    <xf numFmtId="0" fontId="1" fillId="4" borderId="0" xfId="0" applyFont="1" applyFill="1" applyAlignment="1">
      <alignment horizontal="right" vertical="center" wrapText="1" readingOrder="1"/>
    </xf>
    <xf numFmtId="0" fontId="3" fillId="0" borderId="0" xfId="0" applyFont="1"/>
    <xf numFmtId="0" fontId="2" fillId="3" borderId="0" xfId="0" applyFont="1" applyFill="1" applyAlignment="1">
      <alignment horizontal="center" wrapText="1" readingOrder="1"/>
    </xf>
    <xf numFmtId="0" fontId="2" fillId="3" borderId="0" xfId="0" applyFont="1" applyFill="1" applyAlignment="1">
      <alignment horizontal="right" wrapText="1" readingOrder="1"/>
    </xf>
    <xf numFmtId="49" fontId="1" fillId="0" borderId="0" xfId="0" applyNumberFormat="1" applyFont="1" applyAlignment="1">
      <alignment horizontal="right" vertical="center" wrapText="1" readingOrder="1"/>
    </xf>
    <xf numFmtId="0" fontId="4" fillId="5" borderId="0" xfId="0" applyFont="1" applyFill="1" applyAlignment="1">
      <alignment horizontal="right" vertical="center" wrapText="1" readingOrder="1"/>
    </xf>
    <xf numFmtId="0" fontId="2" fillId="3" borderId="0" xfId="0" applyFont="1" applyFill="1" applyAlignment="1">
      <alignment horizontal="right" vertical="center" wrapText="1" readingOrder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 readingOrder="1"/>
    </xf>
    <xf numFmtId="0" fontId="4" fillId="5" borderId="0" xfId="0" applyFont="1" applyFill="1" applyAlignment="1">
      <alignment horizontal="right" vertical="center" wrapText="1" readingOrder="1"/>
    </xf>
    <xf numFmtId="0" fontId="2" fillId="3" borderId="0" xfId="0" applyFont="1" applyFill="1" applyAlignment="1">
      <alignment horizontal="right" vertical="center" wrapText="1" readingOrder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 readingOrder="1"/>
    </xf>
    <xf numFmtId="0" fontId="2" fillId="3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1" fillId="4" borderId="0" xfId="0" applyFont="1" applyFill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wrapText="1" readingOrder="1"/>
    </xf>
    <xf numFmtId="0" fontId="4" fillId="4" borderId="0" xfId="0" applyFont="1" applyFill="1" applyAlignment="1">
      <alignment horizontal="center" wrapText="1" readingOrder="1"/>
    </xf>
    <xf numFmtId="0" fontId="4" fillId="0" borderId="0" xfId="0" applyFont="1" applyAlignment="1">
      <alignment horizontal="right" vertical="center" wrapText="1" readingOrder="1"/>
    </xf>
    <xf numFmtId="0" fontId="4" fillId="4" borderId="0" xfId="0" applyFont="1" applyFill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4" borderId="0" xfId="0" applyFont="1" applyFill="1" applyAlignment="1">
      <alignment horizontal="center" vertical="center" wrapText="1" readingOrder="1"/>
    </xf>
    <xf numFmtId="14" fontId="1" fillId="0" borderId="0" xfId="0" applyNumberFormat="1" applyFont="1" applyAlignment="1">
      <alignment horizontal="right" vertical="center" wrapText="1" readingOrder="1"/>
    </xf>
    <xf numFmtId="0" fontId="1" fillId="0" borderId="0" xfId="0" applyFont="1" applyAlignment="1">
      <alignment horizontal="right" vertical="center" wrapText="1" readingOrder="1"/>
    </xf>
    <xf numFmtId="14" fontId="1" fillId="4" borderId="0" xfId="0" applyNumberFormat="1" applyFont="1" applyFill="1" applyAlignment="1">
      <alignment horizontal="right" vertical="center" wrapText="1" readingOrder="1"/>
    </xf>
    <xf numFmtId="0" fontId="1" fillId="4" borderId="0" xfId="0" applyFont="1" applyFill="1" applyAlignment="1">
      <alignment horizontal="right" vertical="center" wrapText="1" readingOrder="1"/>
    </xf>
    <xf numFmtId="0" fontId="1" fillId="0" borderId="0" xfId="0" applyFont="1" applyAlignment="1">
      <alignment horizontal="right" wrapText="1" readingOrder="1"/>
    </xf>
    <xf numFmtId="0" fontId="4" fillId="5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2" fillId="2" borderId="0" xfId="0" applyFont="1" applyFill="1" applyAlignment="1">
      <alignment horizontal="right" wrapText="1" readingOrder="1"/>
    </xf>
    <xf numFmtId="0" fontId="1" fillId="2" borderId="0" xfId="0" applyFont="1" applyFill="1" applyAlignment="1">
      <alignment horizontal="right" wrapText="1" readingOrder="1"/>
    </xf>
    <xf numFmtId="0" fontId="1" fillId="2" borderId="0" xfId="0" applyFont="1" applyFill="1" applyAlignment="1">
      <alignment horizontal="right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1" fillId="5" borderId="0" xfId="0" applyFont="1" applyFill="1" applyAlignment="1">
      <alignment horizontal="center" wrapText="1" readingOrder="1"/>
    </xf>
    <xf numFmtId="0" fontId="1" fillId="5" borderId="0" xfId="0" applyFont="1" applyFill="1" applyAlignment="1">
      <alignment horizontal="right" vertical="center" wrapText="1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 readingOrder="1"/>
    </xf>
    <xf numFmtId="3" fontId="4" fillId="0" borderId="0" xfId="0" applyNumberFormat="1" applyFont="1" applyAlignment="1">
      <alignment horizontal="right" vertical="center" wrapText="1" readingOrder="1"/>
    </xf>
    <xf numFmtId="0" fontId="4" fillId="5" borderId="0" xfId="0" applyFont="1" applyFill="1" applyAlignment="1">
      <alignment horizontal="left" vertical="center" wrapText="1" readingOrder="1"/>
    </xf>
    <xf numFmtId="3" fontId="4" fillId="5" borderId="0" xfId="0" applyNumberFormat="1" applyFont="1" applyFill="1" applyAlignment="1">
      <alignment horizontal="right" vertical="center" wrapText="1" readingOrder="1"/>
    </xf>
    <xf numFmtId="0" fontId="2" fillId="8" borderId="0" xfId="0" applyFont="1" applyFill="1" applyAlignment="1">
      <alignment horizontal="left" vertical="center" wrapText="1" readingOrder="1"/>
    </xf>
    <xf numFmtId="3" fontId="2" fillId="8" borderId="0" xfId="0" applyNumberFormat="1" applyFont="1" applyFill="1" applyAlignment="1">
      <alignment horizontal="right" vertical="center" wrapText="1" readingOrder="1"/>
    </xf>
    <xf numFmtId="0" fontId="4" fillId="0" borderId="0" xfId="0" applyFont="1" applyAlignment="1">
      <alignment horizontal="center" vertical="center" wrapText="1" readingOrder="1"/>
    </xf>
    <xf numFmtId="3" fontId="1" fillId="5" borderId="0" xfId="0" applyNumberFormat="1" applyFont="1" applyFill="1" applyAlignment="1">
      <alignment horizontal="right" vertical="center" wrapText="1" readingOrder="1"/>
    </xf>
    <xf numFmtId="3" fontId="2" fillId="3" borderId="0" xfId="0" applyNumberFormat="1" applyFont="1" applyFill="1" applyAlignment="1">
      <alignment horizontal="right" vertical="center" wrapText="1" readingOrder="1"/>
    </xf>
    <xf numFmtId="0" fontId="7" fillId="0" borderId="0" xfId="0" applyFont="1"/>
    <xf numFmtId="0" fontId="4" fillId="0" borderId="0" xfId="0" applyFont="1" applyAlignment="1">
      <alignment horizontal="left" wrapText="1" readingOrder="1"/>
    </xf>
    <xf numFmtId="0" fontId="6" fillId="9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 wrapText="1" readingOrder="1"/>
    </xf>
    <xf numFmtId="4" fontId="1" fillId="0" borderId="0" xfId="0" applyNumberFormat="1" applyFont="1" applyAlignment="1">
      <alignment horizontal="right" vertical="center" wrapText="1" readingOrder="1"/>
    </xf>
    <xf numFmtId="4" fontId="4" fillId="5" borderId="0" xfId="0" applyNumberFormat="1" applyFont="1" applyFill="1" applyAlignment="1">
      <alignment horizontal="right" vertical="center" wrapText="1" readingOrder="1"/>
    </xf>
    <xf numFmtId="0" fontId="2" fillId="8" borderId="0" xfId="0" applyFont="1" applyFill="1" applyAlignment="1">
      <alignment horizontal="right" vertical="center" wrapText="1" readingOrder="1"/>
    </xf>
    <xf numFmtId="0" fontId="2" fillId="10" borderId="0" xfId="0" applyFont="1" applyFill="1" applyAlignment="1">
      <alignment horizontal="left" vertical="center" wrapText="1" readingOrder="1"/>
    </xf>
    <xf numFmtId="0" fontId="2" fillId="10" borderId="0" xfId="0" applyFont="1" applyFill="1" applyAlignment="1">
      <alignment horizontal="center" vertical="center" wrapText="1" readingOrder="1"/>
    </xf>
    <xf numFmtId="0" fontId="7" fillId="0" borderId="0" xfId="0" applyFont="1" applyAlignment="1">
      <alignment horizontal="right"/>
    </xf>
    <xf numFmtId="4" fontId="2" fillId="10" borderId="0" xfId="0" applyNumberFormat="1" applyFont="1" applyFill="1" applyAlignment="1">
      <alignment horizontal="right" vertical="center" wrapText="1" readingOrder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3" borderId="0" xfId="0" applyFont="1" applyFill="1" applyAlignment="1">
      <alignment horizontal="right" vertical="center" wrapText="1" readingOrder="1"/>
    </xf>
    <xf numFmtId="4" fontId="9" fillId="3" borderId="0" xfId="0" applyNumberFormat="1" applyFont="1" applyFill="1" applyAlignment="1">
      <alignment horizontal="right" vertical="center" wrapText="1" readingOrder="1"/>
    </xf>
    <xf numFmtId="0" fontId="8" fillId="3" borderId="0" xfId="0" applyFont="1" applyFill="1" applyAlignment="1">
      <alignment horizontal="center" vertical="center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4" fillId="12" borderId="0" xfId="0" applyFont="1" applyFill="1" applyAlignment="1">
      <alignment horizontal="right" vertical="center" wrapText="1" readingOrder="1"/>
    </xf>
    <xf numFmtId="4" fontId="4" fillId="12" borderId="0" xfId="0" applyNumberFormat="1" applyFont="1" applyFill="1" applyAlignment="1">
      <alignment horizontal="right" vertical="center" wrapText="1" readingOrder="1"/>
    </xf>
    <xf numFmtId="4" fontId="1" fillId="4" borderId="0" xfId="0" applyNumberFormat="1" applyFont="1" applyFill="1" applyAlignment="1">
      <alignment horizontal="right" vertical="center" wrapText="1" readingOrder="1"/>
    </xf>
    <xf numFmtId="4" fontId="4" fillId="4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 horizontal="center" vertical="center"/>
    </xf>
    <xf numFmtId="0" fontId="4" fillId="12" borderId="0" xfId="0" applyFont="1" applyFill="1" applyAlignment="1">
      <alignment horizontal="center" wrapText="1" readingOrder="1"/>
    </xf>
    <xf numFmtId="0" fontId="3" fillId="1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4" fillId="12" borderId="0" xfId="0" applyFont="1" applyFill="1" applyAlignment="1">
      <alignment horizontal="left" vertical="center" wrapText="1" readingOrder="1"/>
    </xf>
    <xf numFmtId="0" fontId="4" fillId="4" borderId="0" xfId="0" applyFont="1" applyFill="1" applyAlignment="1">
      <alignment horizontal="left" vertical="center" wrapText="1" readingOrder="1"/>
    </xf>
    <xf numFmtId="0" fontId="2" fillId="3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2" fillId="3" borderId="0" xfId="0" applyFont="1" applyFill="1" applyAlignment="1">
      <alignment horizontal="right" vertical="center" wrapText="1" readingOrder="1"/>
    </xf>
    <xf numFmtId="4" fontId="1" fillId="0" borderId="0" xfId="0" applyNumberFormat="1" applyFont="1" applyAlignment="1">
      <alignment horizontal="right" vertical="center" wrapText="1" readingOrder="1"/>
    </xf>
    <xf numFmtId="0" fontId="3" fillId="0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center" vertical="center" wrapText="1" readingOrder="1"/>
    </xf>
    <xf numFmtId="1" fontId="1" fillId="0" borderId="0" xfId="0" applyNumberFormat="1" applyFont="1" applyAlignment="1">
      <alignment horizontal="right" vertical="center" wrapText="1" readingOrder="1"/>
    </xf>
    <xf numFmtId="1" fontId="4" fillId="5" borderId="0" xfId="0" applyNumberFormat="1" applyFont="1" applyFill="1" applyAlignment="1">
      <alignment horizontal="right" vertical="center" wrapText="1" readingOrder="1"/>
    </xf>
    <xf numFmtId="1" fontId="1" fillId="4" borderId="0" xfId="0" applyNumberFormat="1" applyFont="1" applyFill="1" applyAlignment="1">
      <alignment horizontal="right" vertical="center" wrapText="1" readingOrder="1"/>
    </xf>
    <xf numFmtId="1" fontId="2" fillId="3" borderId="0" xfId="0" applyNumberFormat="1" applyFont="1" applyFill="1" applyAlignment="1">
      <alignment horizontal="right" vertical="center" wrapText="1" readingOrder="1"/>
    </xf>
    <xf numFmtId="1" fontId="3" fillId="0" borderId="0" xfId="0" applyNumberFormat="1" applyFont="1" applyAlignment="1">
      <alignment horizontal="right" vertical="center"/>
    </xf>
    <xf numFmtId="14" fontId="1" fillId="0" borderId="0" xfId="0" applyNumberFormat="1" applyFont="1" applyFill="1" applyAlignment="1">
      <alignment horizontal="right" vertical="center" wrapText="1" readingOrder="1"/>
    </xf>
    <xf numFmtId="0" fontId="3" fillId="0" borderId="0" xfId="0" applyFont="1" applyAlignment="1">
      <alignment wrapText="1"/>
    </xf>
    <xf numFmtId="3" fontId="3" fillId="0" borderId="0" xfId="0" applyNumberFormat="1" applyFont="1"/>
    <xf numFmtId="166" fontId="1" fillId="0" borderId="0" xfId="1" applyNumberFormat="1" applyFont="1" applyAlignment="1">
      <alignment horizontal="right" vertical="center" wrapText="1" readingOrder="1"/>
    </xf>
    <xf numFmtId="165" fontId="2" fillId="8" borderId="0" xfId="1" applyNumberFormat="1" applyFont="1" applyFill="1" applyAlignment="1">
      <alignment horizontal="right" vertical="center" wrapText="1" readingOrder="1"/>
    </xf>
    <xf numFmtId="43" fontId="1" fillId="0" borderId="0" xfId="1" applyNumberFormat="1" applyFont="1" applyAlignment="1">
      <alignment horizontal="right" vertical="center" wrapText="1" readingOrder="1"/>
    </xf>
    <xf numFmtId="43" fontId="4" fillId="5" borderId="0" xfId="1" applyNumberFormat="1" applyFont="1" applyFill="1" applyAlignment="1">
      <alignment horizontal="right" vertical="center" wrapText="1" readingOrder="1"/>
    </xf>
    <xf numFmtId="43" fontId="2" fillId="8" borderId="0" xfId="1" applyNumberFormat="1" applyFont="1" applyFill="1" applyAlignment="1">
      <alignment horizontal="right" vertical="center" wrapText="1" readingOrder="1"/>
    </xf>
    <xf numFmtId="43" fontId="7" fillId="0" borderId="0" xfId="1" applyNumberFormat="1" applyFont="1"/>
    <xf numFmtId="43" fontId="6" fillId="9" borderId="0" xfId="1" applyNumberFormat="1" applyFont="1" applyFill="1" applyAlignment="1">
      <alignment horizontal="center" vertical="center" wrapText="1"/>
    </xf>
    <xf numFmtId="43" fontId="2" fillId="3" borderId="0" xfId="1" applyNumberFormat="1" applyFont="1" applyFill="1" applyAlignment="1">
      <alignment horizontal="right" vertical="center" wrapText="1" readingOrder="1"/>
    </xf>
    <xf numFmtId="4" fontId="7" fillId="0" borderId="0" xfId="0" applyNumberFormat="1" applyFont="1"/>
    <xf numFmtId="43" fontId="7" fillId="0" borderId="0" xfId="0" applyNumberFormat="1" applyFont="1"/>
    <xf numFmtId="0" fontId="2" fillId="3" borderId="0" xfId="0" applyFont="1" applyFill="1" applyAlignment="1">
      <alignment horizontal="right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3" fillId="0" borderId="0" xfId="0" applyFont="1" applyFill="1" applyAlignment="1">
      <alignment horizontal="right" vertical="center" wrapText="1" readingOrder="1"/>
    </xf>
    <xf numFmtId="0" fontId="0" fillId="0" borderId="0" xfId="0" applyFont="1" applyFill="1"/>
    <xf numFmtId="0" fontId="1" fillId="0" borderId="0" xfId="0" applyFont="1" applyFill="1" applyAlignment="1">
      <alignment horizontal="right" vertical="center" wrapText="1" readingOrder="1"/>
    </xf>
    <xf numFmtId="0" fontId="0" fillId="0" borderId="0" xfId="0" applyFill="1"/>
    <xf numFmtId="0" fontId="0" fillId="13" borderId="0" xfId="0" applyFill="1"/>
    <xf numFmtId="0" fontId="1" fillId="15" borderId="0" xfId="0" applyFont="1" applyFill="1" applyAlignment="1">
      <alignment horizontal="center" vertical="center" wrapText="1" readingOrder="1"/>
    </xf>
    <xf numFmtId="0" fontId="1" fillId="15" borderId="0" xfId="0" applyFont="1" applyFill="1" applyAlignment="1">
      <alignment horizontal="left" vertical="center" wrapText="1" readingOrder="1"/>
    </xf>
    <xf numFmtId="0" fontId="1" fillId="15" borderId="0" xfId="0" applyFont="1" applyFill="1" applyAlignment="1">
      <alignment horizontal="right" vertical="center" wrapText="1" readingOrder="1"/>
    </xf>
    <xf numFmtId="14" fontId="1" fillId="15" borderId="0" xfId="0" applyNumberFormat="1" applyFont="1" applyFill="1" applyAlignment="1">
      <alignment horizontal="right" vertical="center" wrapText="1" readingOrder="1"/>
    </xf>
    <xf numFmtId="0" fontId="0" fillId="15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 wrapText="1" readingOrder="1"/>
    </xf>
    <xf numFmtId="0" fontId="1" fillId="15" borderId="0" xfId="0" applyFont="1" applyFill="1" applyAlignment="1">
      <alignment horizontal="right" vertical="center" wrapText="1" readingOrder="1"/>
    </xf>
    <xf numFmtId="4" fontId="1" fillId="0" borderId="0" xfId="0" applyNumberFormat="1" applyFont="1" applyAlignment="1">
      <alignment horizontal="right" vertical="center" wrapText="1" readingOrder="1"/>
    </xf>
    <xf numFmtId="43" fontId="1" fillId="0" borderId="0" xfId="1" applyFont="1" applyAlignment="1">
      <alignment horizontal="right" vertical="center" wrapText="1" readingOrder="1"/>
    </xf>
    <xf numFmtId="2" fontId="1" fillId="0" borderId="0" xfId="0" applyNumberFormat="1" applyFont="1" applyAlignment="1">
      <alignment horizontal="righ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center" vertical="center" wrapText="1" readingOrder="1"/>
    </xf>
    <xf numFmtId="43" fontId="6" fillId="0" borderId="0" xfId="1" applyFont="1" applyAlignment="1">
      <alignment horizontal="right" vertical="center" wrapText="1" readingOrder="1"/>
    </xf>
    <xf numFmtId="0" fontId="6" fillId="4" borderId="0" xfId="0" applyFont="1" applyFill="1" applyAlignment="1">
      <alignment horizontal="center" vertical="center" wrapText="1" readingOrder="1"/>
    </xf>
    <xf numFmtId="43" fontId="6" fillId="4" borderId="0" xfId="1" applyFont="1" applyFill="1" applyAlignment="1">
      <alignment horizontal="right" vertical="center" wrapText="1" readingOrder="1"/>
    </xf>
    <xf numFmtId="0" fontId="6" fillId="0" borderId="0" xfId="0" applyFont="1" applyFill="1" applyAlignment="1">
      <alignment horizontal="left" vertical="center" wrapText="1" readingOrder="1"/>
    </xf>
    <xf numFmtId="0" fontId="6" fillId="0" borderId="0" xfId="0" applyFont="1" applyFill="1" applyAlignment="1">
      <alignment horizontal="center" vertical="center" wrapText="1" readingOrder="1"/>
    </xf>
    <xf numFmtId="43" fontId="6" fillId="0" borderId="0" xfId="1" applyFont="1" applyFill="1" applyAlignment="1">
      <alignment horizontal="right" vertical="center" wrapText="1" readingOrder="1"/>
    </xf>
    <xf numFmtId="0" fontId="6" fillId="16" borderId="0" xfId="0" applyFont="1" applyFill="1" applyAlignment="1">
      <alignment horizontal="left" vertical="center" wrapText="1" readingOrder="1"/>
    </xf>
    <xf numFmtId="0" fontId="6" fillId="16" borderId="0" xfId="0" applyFont="1" applyFill="1" applyAlignment="1">
      <alignment horizontal="center" vertical="center" wrapText="1" readingOrder="1"/>
    </xf>
    <xf numFmtId="43" fontId="6" fillId="16" borderId="0" xfId="1" applyFont="1" applyFill="1" applyAlignment="1">
      <alignment horizontal="right" vertical="center" wrapText="1" readingOrder="1"/>
    </xf>
    <xf numFmtId="0" fontId="6" fillId="16" borderId="0" xfId="0" applyFont="1" applyFill="1" applyAlignment="1">
      <alignment vertical="center" wrapText="1" readingOrder="1"/>
    </xf>
    <xf numFmtId="0" fontId="6" fillId="0" borderId="0" xfId="0" applyFont="1" applyFill="1" applyAlignment="1">
      <alignment vertical="center" wrapText="1" readingOrder="1"/>
    </xf>
    <xf numFmtId="43" fontId="11" fillId="3" borderId="0" xfId="0" applyNumberFormat="1" applyFont="1" applyFill="1" applyAlignment="1">
      <alignment horizontal="right" vertical="center" wrapText="1" readingOrder="1"/>
    </xf>
    <xf numFmtId="0" fontId="12" fillId="0" borderId="0" xfId="0" applyFont="1" applyAlignment="1">
      <alignment horizontal="right" vertical="center"/>
    </xf>
    <xf numFmtId="43" fontId="9" fillId="3" borderId="0" xfId="1" applyFont="1" applyFill="1" applyAlignment="1">
      <alignment horizontal="right" vertical="center" wrapText="1" readingOrder="1"/>
    </xf>
    <xf numFmtId="43" fontId="6" fillId="0" borderId="0" xfId="1" applyFont="1" applyAlignment="1">
      <alignment horizontal="right" vertical="center" wrapText="1"/>
    </xf>
    <xf numFmtId="43" fontId="2" fillId="3" borderId="0" xfId="1" applyFont="1" applyFill="1" applyAlignment="1">
      <alignment horizontal="right" vertical="center" wrapText="1" readingOrder="1"/>
    </xf>
    <xf numFmtId="43" fontId="4" fillId="5" borderId="0" xfId="1" applyFont="1" applyFill="1" applyAlignment="1">
      <alignment horizontal="right" vertical="center" wrapText="1" readingOrder="1"/>
    </xf>
    <xf numFmtId="0" fontId="6" fillId="0" borderId="0" xfId="0" applyFont="1" applyAlignment="1">
      <alignment horizontal="left" wrapText="1" readingOrder="1"/>
    </xf>
    <xf numFmtId="0" fontId="14" fillId="0" borderId="0" xfId="0" applyFont="1" applyAlignment="1">
      <alignment horizontal="right"/>
    </xf>
    <xf numFmtId="43" fontId="15" fillId="5" borderId="0" xfId="1" applyFont="1" applyFill="1" applyAlignment="1">
      <alignment horizontal="right" vertical="center" wrapText="1" readingOrder="1"/>
    </xf>
    <xf numFmtId="0" fontId="6" fillId="0" borderId="0" xfId="0" applyFont="1" applyAlignment="1">
      <alignment horizontal="center" wrapText="1" readingOrder="1"/>
    </xf>
    <xf numFmtId="43" fontId="11" fillId="3" borderId="0" xfId="1" applyFont="1" applyFill="1" applyAlignment="1">
      <alignment horizontal="right" vertical="center" wrapText="1" readingOrder="1"/>
    </xf>
    <xf numFmtId="0" fontId="16" fillId="0" borderId="0" xfId="0" applyFont="1" applyAlignment="1">
      <alignment horizontal="right"/>
    </xf>
    <xf numFmtId="0" fontId="1" fillId="15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right" vertical="center" wrapText="1" readingOrder="1"/>
    </xf>
    <xf numFmtId="0" fontId="1" fillId="15" borderId="0" xfId="0" applyFont="1" applyFill="1" applyAlignment="1">
      <alignment horizontal="right" vertical="center" wrapText="1" readingOrder="1"/>
    </xf>
    <xf numFmtId="0" fontId="1" fillId="0" borderId="0" xfId="0" applyFont="1" applyFill="1" applyAlignment="1">
      <alignment horizontal="right" vertical="center" wrapText="1" readingOrder="1"/>
    </xf>
    <xf numFmtId="0" fontId="1" fillId="13" borderId="0" xfId="0" applyFont="1" applyFill="1" applyAlignment="1">
      <alignment horizontal="right" vertical="center" wrapText="1" readingOrder="1"/>
    </xf>
    <xf numFmtId="14" fontId="1" fillId="13" borderId="0" xfId="0" applyNumberFormat="1" applyFont="1" applyFill="1" applyAlignment="1">
      <alignment horizontal="right" vertical="center" wrapText="1" readingOrder="1"/>
    </xf>
    <xf numFmtId="0" fontId="1" fillId="4" borderId="0" xfId="0" applyFont="1" applyFill="1" applyAlignment="1">
      <alignment horizontal="center" vertical="center" wrapText="1" readingOrder="1"/>
    </xf>
    <xf numFmtId="49" fontId="1" fillId="4" borderId="0" xfId="0" applyNumberFormat="1" applyFont="1" applyFill="1" applyAlignment="1">
      <alignment horizontal="right" vertical="center" wrapText="1" readingOrder="1"/>
    </xf>
    <xf numFmtId="43" fontId="1" fillId="4" borderId="0" xfId="1" applyFont="1" applyFill="1" applyAlignment="1">
      <alignment horizontal="right" vertical="center" wrapText="1" readingOrder="1"/>
    </xf>
    <xf numFmtId="0" fontId="4" fillId="17" borderId="0" xfId="0" applyFont="1" applyFill="1" applyAlignment="1">
      <alignment horizontal="left" vertical="center" wrapText="1" readingOrder="1"/>
    </xf>
    <xf numFmtId="0" fontId="4" fillId="17" borderId="0" xfId="0" applyFont="1" applyFill="1" applyAlignment="1">
      <alignment horizontal="right" vertical="center" wrapText="1" readingOrder="1"/>
    </xf>
    <xf numFmtId="4" fontId="4" fillId="17" borderId="0" xfId="0" applyNumberFormat="1" applyFont="1" applyFill="1" applyAlignment="1">
      <alignment horizontal="right" vertical="center" wrapText="1" readingOrder="1"/>
    </xf>
    <xf numFmtId="4" fontId="11" fillId="3" borderId="0" xfId="0" applyNumberFormat="1" applyFont="1" applyFill="1" applyAlignment="1">
      <alignment horizontal="right" vertical="center" wrapText="1" readingOrder="1"/>
    </xf>
    <xf numFmtId="0" fontId="3" fillId="17" borderId="0" xfId="0" applyFont="1" applyFill="1" applyAlignment="1">
      <alignment horizontal="center" wrapText="1"/>
    </xf>
    <xf numFmtId="0" fontId="4" fillId="18" borderId="0" xfId="0" applyFont="1" applyFill="1" applyAlignment="1">
      <alignment horizontal="left" vertical="center" wrapText="1" readingOrder="1"/>
    </xf>
    <xf numFmtId="0" fontId="4" fillId="18" borderId="0" xfId="0" applyFont="1" applyFill="1" applyAlignment="1">
      <alignment horizontal="right" vertical="center" wrapText="1" readingOrder="1"/>
    </xf>
    <xf numFmtId="4" fontId="4" fillId="18" borderId="0" xfId="0" applyNumberFormat="1" applyFont="1" applyFill="1" applyAlignment="1">
      <alignment horizontal="right" vertical="center" wrapText="1" readingOrder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right" vertical="center" wrapText="1" readingOrder="1"/>
    </xf>
    <xf numFmtId="14" fontId="1" fillId="15" borderId="0" xfId="0" applyNumberFormat="1" applyFont="1" applyFill="1" applyAlignment="1">
      <alignment horizontal="right" vertical="center" wrapText="1"/>
    </xf>
    <xf numFmtId="0" fontId="1" fillId="13" borderId="0" xfId="0" applyFont="1" applyFill="1" applyAlignment="1">
      <alignment vertical="center" wrapText="1" readingOrder="1"/>
    </xf>
    <xf numFmtId="14" fontId="1" fillId="13" borderId="0" xfId="0" applyNumberFormat="1" applyFont="1" applyFill="1" applyAlignment="1">
      <alignment vertical="center" wrapText="1" readingOrder="1"/>
    </xf>
    <xf numFmtId="0" fontId="1" fillId="13" borderId="0" xfId="0" applyFont="1" applyFill="1" applyAlignment="1">
      <alignment wrapText="1" readingOrder="1"/>
    </xf>
    <xf numFmtId="14" fontId="1" fillId="13" borderId="0" xfId="0" applyNumberFormat="1" applyFont="1" applyFill="1" applyAlignment="1">
      <alignment wrapText="1" readingOrder="1"/>
    </xf>
    <xf numFmtId="0" fontId="1" fillId="0" borderId="0" xfId="0" applyFont="1" applyBorder="1" applyAlignment="1">
      <alignment horizontal="right" vertical="center" wrapText="1" readingOrder="1"/>
    </xf>
    <xf numFmtId="14" fontId="1" fillId="0" borderId="0" xfId="0" applyNumberFormat="1" applyFont="1" applyBorder="1" applyAlignment="1">
      <alignment horizontal="right" vertical="center" wrapText="1" readingOrder="1"/>
    </xf>
    <xf numFmtId="0" fontId="1" fillId="15" borderId="0" xfId="0" applyFont="1" applyFill="1" applyBorder="1" applyAlignment="1">
      <alignment horizontal="right" vertical="center" wrapText="1" readingOrder="1"/>
    </xf>
    <xf numFmtId="14" fontId="1" fillId="15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4" fontId="1" fillId="0" borderId="0" xfId="0" applyNumberFormat="1" applyFont="1" applyFill="1" applyBorder="1" applyAlignment="1">
      <alignment horizontal="right" vertical="center" wrapText="1" readingOrder="1"/>
    </xf>
    <xf numFmtId="0" fontId="1" fillId="4" borderId="0" xfId="0" applyFont="1" applyFill="1" applyBorder="1" applyAlignment="1">
      <alignment horizontal="right" vertical="center" wrapText="1" readingOrder="1"/>
    </xf>
    <xf numFmtId="14" fontId="1" fillId="4" borderId="0" xfId="0" applyNumberFormat="1" applyFont="1" applyFill="1" applyBorder="1" applyAlignment="1">
      <alignment horizontal="right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1" fillId="14" borderId="0" xfId="0" applyFont="1" applyFill="1" applyBorder="1" applyAlignment="1">
      <alignment horizontal="right" vertical="center" wrapText="1" readingOrder="1"/>
    </xf>
    <xf numFmtId="14" fontId="1" fillId="14" borderId="0" xfId="0" applyNumberFormat="1" applyFont="1" applyFill="1" applyBorder="1" applyAlignment="1">
      <alignment horizontal="right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4" borderId="6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14" fontId="1" fillId="0" borderId="8" xfId="0" applyNumberFormat="1" applyFont="1" applyFill="1" applyBorder="1" applyAlignment="1">
      <alignment horizontal="right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readingOrder="1"/>
    </xf>
    <xf numFmtId="0" fontId="19" fillId="0" borderId="0" xfId="0" applyFont="1"/>
    <xf numFmtId="0" fontId="21" fillId="13" borderId="0" xfId="4" applyFont="1" applyFill="1" applyBorder="1" applyProtection="1">
      <protection locked="0"/>
    </xf>
    <xf numFmtId="3" fontId="21" fillId="13" borderId="0" xfId="4" applyNumberFormat="1" applyFont="1" applyFill="1" applyBorder="1" applyProtection="1">
      <protection locked="0"/>
    </xf>
    <xf numFmtId="43" fontId="1" fillId="0" borderId="0" xfId="0" applyNumberFormat="1" applyFont="1" applyAlignment="1">
      <alignment horizontal="right" vertical="center" wrapText="1" readingOrder="1"/>
    </xf>
    <xf numFmtId="43" fontId="4" fillId="5" borderId="0" xfId="0" applyNumberFormat="1" applyFont="1" applyFill="1" applyAlignment="1">
      <alignment horizontal="right" vertical="center" wrapText="1" readingOrder="1"/>
    </xf>
    <xf numFmtId="43" fontId="3" fillId="0" borderId="0" xfId="0" applyNumberFormat="1" applyFont="1"/>
    <xf numFmtId="43" fontId="2" fillId="8" borderId="0" xfId="0" applyNumberFormat="1" applyFont="1" applyFill="1" applyAlignment="1">
      <alignment horizontal="right" vertical="center" wrapText="1" readingOrder="1"/>
    </xf>
    <xf numFmtId="2" fontId="1" fillId="0" borderId="0" xfId="1" applyNumberFormat="1" applyFont="1" applyAlignment="1">
      <alignment horizontal="right" vertical="center" wrapText="1" readingOrder="1"/>
    </xf>
    <xf numFmtId="2" fontId="4" fillId="5" borderId="0" xfId="0" applyNumberFormat="1" applyFont="1" applyFill="1" applyAlignment="1">
      <alignment horizontal="right" vertical="center" wrapText="1" readingOrder="1"/>
    </xf>
    <xf numFmtId="2" fontId="4" fillId="5" borderId="0" xfId="1" applyNumberFormat="1" applyFont="1" applyFill="1" applyAlignment="1">
      <alignment horizontal="right" vertical="center" wrapText="1" readingOrder="1"/>
    </xf>
    <xf numFmtId="2" fontId="2" fillId="8" borderId="0" xfId="0" applyNumberFormat="1" applyFont="1" applyFill="1" applyAlignment="1">
      <alignment horizontal="right" vertical="center" wrapText="1" readingOrder="1"/>
    </xf>
    <xf numFmtId="2" fontId="2" fillId="8" borderId="0" xfId="1" applyNumberFormat="1" applyFont="1" applyFill="1" applyAlignment="1">
      <alignment horizontal="right" vertical="center" wrapText="1" readingOrder="1"/>
    </xf>
    <xf numFmtId="168" fontId="22" fillId="19" borderId="0" xfId="3" applyNumberFormat="1" applyFont="1" applyFill="1"/>
    <xf numFmtId="168" fontId="16" fillId="19" borderId="0" xfId="3" applyNumberFormat="1" applyFont="1" applyFill="1"/>
    <xf numFmtId="0" fontId="21" fillId="13" borderId="0" xfId="4" applyFont="1" applyFill="1"/>
    <xf numFmtId="0" fontId="24" fillId="13" borderId="0" xfId="4" applyFont="1" applyFill="1"/>
    <xf numFmtId="169" fontId="24" fillId="13" borderId="0" xfId="4" applyNumberFormat="1" applyFont="1" applyFill="1"/>
    <xf numFmtId="169" fontId="21" fillId="13" borderId="0" xfId="4" applyNumberFormat="1" applyFont="1" applyFill="1"/>
    <xf numFmtId="0" fontId="20" fillId="0" borderId="0" xfId="4"/>
    <xf numFmtId="17" fontId="20" fillId="0" borderId="0" xfId="4" applyNumberFormat="1"/>
    <xf numFmtId="167" fontId="20" fillId="0" borderId="0" xfId="4" applyNumberFormat="1"/>
    <xf numFmtId="0" fontId="17" fillId="0" borderId="0" xfId="0" applyFont="1"/>
    <xf numFmtId="0" fontId="25" fillId="0" borderId="0" xfId="0" applyFont="1"/>
    <xf numFmtId="0" fontId="26" fillId="0" borderId="0" xfId="0" applyFont="1"/>
    <xf numFmtId="10" fontId="7" fillId="0" borderId="0" xfId="3" applyNumberFormat="1" applyFont="1" applyAlignment="1">
      <alignment horizontal="right" vertical="center"/>
    </xf>
    <xf numFmtId="10" fontId="23" fillId="19" borderId="0" xfId="3" applyNumberFormat="1" applyFont="1" applyFill="1" applyAlignment="1">
      <alignment horizontal="right" vertical="center"/>
    </xf>
    <xf numFmtId="1" fontId="20" fillId="0" borderId="0" xfId="4" applyNumberFormat="1" applyFont="1"/>
    <xf numFmtId="0" fontId="20" fillId="0" borderId="0" xfId="4" applyFont="1"/>
    <xf numFmtId="170" fontId="20" fillId="0" borderId="0" xfId="1" applyNumberFormat="1" applyFont="1"/>
    <xf numFmtId="0" fontId="23" fillId="0" borderId="0" xfId="0" applyFont="1" applyAlignment="1">
      <alignment horizontal="left" vertical="center"/>
    </xf>
    <xf numFmtId="168" fontId="3" fillId="0" borderId="0" xfId="3" applyNumberFormat="1" applyFont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" fillId="6" borderId="0" xfId="0" applyFont="1" applyFill="1" applyAlignment="1">
      <alignment horizontal="center" wrapText="1" readingOrder="1"/>
    </xf>
    <xf numFmtId="0" fontId="6" fillId="0" borderId="0" xfId="0" applyFont="1" applyAlignment="1">
      <alignment horizontal="center" wrapText="1"/>
    </xf>
    <xf numFmtId="0" fontId="2" fillId="20" borderId="0" xfId="0" applyFont="1" applyFill="1" applyAlignment="1">
      <alignment horizontal="center" vertical="center" wrapText="1"/>
    </xf>
    <xf numFmtId="43" fontId="1" fillId="0" borderId="0" xfId="1" applyFont="1" applyAlignment="1">
      <alignment horizontal="right" vertical="center" wrapText="1"/>
    </xf>
    <xf numFmtId="43" fontId="1" fillId="5" borderId="0" xfId="1" applyFont="1" applyFill="1" applyAlignment="1">
      <alignment horizontal="right" vertical="center" wrapText="1"/>
    </xf>
    <xf numFmtId="43" fontId="2" fillId="20" borderId="0" xfId="1" applyFont="1" applyFill="1" applyAlignment="1">
      <alignment horizontal="right" vertical="center" wrapText="1"/>
    </xf>
    <xf numFmtId="43" fontId="4" fillId="3" borderId="0" xfId="1" applyFont="1" applyFill="1" applyAlignment="1">
      <alignment horizontal="right" vertical="center" wrapText="1"/>
    </xf>
    <xf numFmtId="43" fontId="29" fillId="0" borderId="0" xfId="1" applyFont="1"/>
    <xf numFmtId="0" fontId="4" fillId="5" borderId="0" xfId="0" applyFont="1" applyFill="1" applyAlignment="1">
      <alignment vertical="center" wrapText="1"/>
    </xf>
    <xf numFmtId="43" fontId="4" fillId="21" borderId="0" xfId="1" applyFont="1" applyFill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11" fillId="3" borderId="0" xfId="1" applyFont="1" applyFill="1" applyAlignment="1">
      <alignment horizontal="right" vertical="center" wrapText="1"/>
    </xf>
    <xf numFmtId="0" fontId="29" fillId="0" borderId="0" xfId="0" applyFont="1"/>
    <xf numFmtId="0" fontId="2" fillId="6" borderId="0" xfId="0" applyFont="1" applyFill="1" applyAlignment="1">
      <alignment horizontal="center" vertical="center" wrapText="1"/>
    </xf>
    <xf numFmtId="164" fontId="32" fillId="22" borderId="9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20" fillId="0" borderId="9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1" applyNumberFormat="1" applyFont="1" applyBorder="1"/>
    <xf numFmtId="164" fontId="0" fillId="0" borderId="9" xfId="3" applyNumberFormat="1" applyFont="1" applyBorder="1"/>
    <xf numFmtId="0" fontId="6" fillId="0" borderId="0" xfId="0" applyFont="1" applyAlignment="1">
      <alignment wrapText="1"/>
    </xf>
    <xf numFmtId="43" fontId="6" fillId="0" borderId="0" xfId="1" applyFont="1" applyAlignment="1">
      <alignment horizontal="right" wrapText="1"/>
    </xf>
    <xf numFmtId="0" fontId="0" fillId="0" borderId="9" xfId="0" applyFont="1" applyFill="1" applyBorder="1" applyAlignment="1">
      <alignment horizontal="center"/>
    </xf>
    <xf numFmtId="43" fontId="7" fillId="0" borderId="0" xfId="1" applyFont="1" applyAlignment="1">
      <alignment horizontal="right" vertical="center" wrapText="1"/>
    </xf>
    <xf numFmtId="0" fontId="33" fillId="0" borderId="9" xfId="0" applyFont="1" applyFill="1" applyBorder="1" applyAlignment="1">
      <alignment horizontal="center"/>
    </xf>
    <xf numFmtId="164" fontId="33" fillId="0" borderId="9" xfId="0" applyNumberFormat="1" applyFont="1" applyBorder="1" applyAlignment="1">
      <alignment horizontal="center"/>
    </xf>
    <xf numFmtId="164" fontId="33" fillId="0" borderId="9" xfId="1" applyNumberFormat="1" applyFont="1" applyBorder="1"/>
    <xf numFmtId="164" fontId="33" fillId="0" borderId="9" xfId="3" applyNumberFormat="1" applyFont="1" applyBorder="1" applyAlignment="1">
      <alignment horizontal="right"/>
    </xf>
    <xf numFmtId="0" fontId="4" fillId="5" borderId="0" xfId="0" applyFont="1" applyFill="1" applyAlignment="1">
      <alignment horizontal="left" wrapText="1"/>
    </xf>
    <xf numFmtId="43" fontId="1" fillId="5" borderId="0" xfId="1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43" fontId="7" fillId="3" borderId="0" xfId="1" applyFont="1" applyFill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4" fillId="21" borderId="0" xfId="0" applyFont="1" applyFill="1" applyAlignment="1">
      <alignment horizontal="left" wrapText="1"/>
    </xf>
    <xf numFmtId="43" fontId="4" fillId="21" borderId="0" xfId="1" applyFont="1" applyFill="1" applyAlignment="1">
      <alignment horizontal="right" wrapText="1"/>
    </xf>
    <xf numFmtId="43" fontId="2" fillId="3" borderId="0" xfId="1" applyFont="1" applyFill="1" applyAlignment="1">
      <alignment horizontal="right" wrapText="1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left" wrapText="1"/>
    </xf>
    <xf numFmtId="43" fontId="1" fillId="4" borderId="0" xfId="1" applyFont="1" applyFill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1" fillId="23" borderId="0" xfId="0" applyFont="1" applyFill="1" applyAlignment="1">
      <alignment horizontal="left" vertical="center" wrapText="1"/>
    </xf>
    <xf numFmtId="43" fontId="1" fillId="23" borderId="0" xfId="1" applyFont="1" applyFill="1" applyAlignment="1">
      <alignment horizontal="right" vertical="center" wrapText="1"/>
    </xf>
    <xf numFmtId="43" fontId="2" fillId="3" borderId="0" xfId="1" applyFont="1" applyFill="1" applyAlignment="1">
      <alignment horizontal="right" vertical="center" wrapText="1"/>
    </xf>
    <xf numFmtId="0" fontId="4" fillId="4" borderId="0" xfId="0" applyFont="1" applyFill="1" applyAlignment="1">
      <alignment vertical="center" wrapText="1"/>
    </xf>
    <xf numFmtId="43" fontId="4" fillId="4" borderId="0" xfId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4" fillId="4" borderId="0" xfId="1" applyFont="1" applyFill="1" applyAlignment="1">
      <alignment horizontal="right" vertical="center" wrapText="1"/>
    </xf>
    <xf numFmtId="43" fontId="2" fillId="3" borderId="0" xfId="1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3" fontId="6" fillId="0" borderId="0" xfId="1" applyFont="1" applyAlignment="1">
      <alignment horizontal="center" vertical="center" wrapText="1"/>
    </xf>
    <xf numFmtId="43" fontId="15" fillId="0" borderId="0" xfId="1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3" fontId="7" fillId="3" borderId="0" xfId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3" fontId="1" fillId="0" borderId="0" xfId="1" applyFont="1" applyAlignment="1">
      <alignment horizontal="center" vertical="center" wrapText="1"/>
    </xf>
    <xf numFmtId="171" fontId="1" fillId="0" borderId="0" xfId="1" applyNumberFormat="1" applyFont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43" fontId="2" fillId="3" borderId="0" xfId="1" applyFont="1" applyFill="1" applyAlignment="1">
      <alignment vertical="center" wrapText="1"/>
    </xf>
    <xf numFmtId="43" fontId="1" fillId="0" borderId="0" xfId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43" fontId="4" fillId="5" borderId="0" xfId="1" applyFont="1" applyFill="1" applyAlignment="1">
      <alignment horizontal="center" vertical="center" wrapText="1"/>
    </xf>
    <xf numFmtId="0" fontId="1" fillId="23" borderId="0" xfId="0" applyFont="1" applyFill="1" applyAlignment="1">
      <alignment vertical="center" wrapText="1"/>
    </xf>
    <xf numFmtId="43" fontId="1" fillId="23" borderId="0" xfId="1" applyFont="1" applyFill="1" applyAlignment="1">
      <alignment horizontal="center" vertical="center" wrapText="1"/>
    </xf>
    <xf numFmtId="0" fontId="22" fillId="0" borderId="0" xfId="0" applyFont="1"/>
    <xf numFmtId="0" fontId="1" fillId="0" borderId="0" xfId="0" applyFont="1" applyAlignment="1">
      <alignment horizontal="center" vertical="center" wrapText="1"/>
    </xf>
    <xf numFmtId="0" fontId="1" fillId="23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43" fontId="6" fillId="0" borderId="0" xfId="1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43" fontId="1" fillId="4" borderId="0" xfId="1" applyFont="1" applyFill="1" applyAlignment="1">
      <alignment horizontal="center" wrapText="1"/>
    </xf>
    <xf numFmtId="43" fontId="6" fillId="16" borderId="0" xfId="1" applyFont="1" applyFill="1" applyAlignment="1">
      <alignment horizontal="right" vertical="center" wrapText="1"/>
    </xf>
    <xf numFmtId="0" fontId="2" fillId="6" borderId="0" xfId="0" applyFont="1" applyFill="1" applyAlignment="1">
      <alignment horizontal="right" vertical="center" wrapText="1"/>
    </xf>
    <xf numFmtId="43" fontId="1" fillId="4" borderId="0" xfId="1" applyFont="1" applyFill="1" applyAlignment="1">
      <alignment horizontal="right" vertical="center" wrapText="1"/>
    </xf>
    <xf numFmtId="4" fontId="2" fillId="3" borderId="0" xfId="0" applyNumberFormat="1" applyFont="1" applyFill="1" applyAlignment="1">
      <alignment horizontal="right" vertical="center" wrapText="1"/>
    </xf>
    <xf numFmtId="4" fontId="2" fillId="24" borderId="0" xfId="0" applyNumberFormat="1" applyFont="1" applyFill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4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" fontId="2" fillId="24" borderId="0" xfId="0" applyNumberFormat="1" applyFont="1" applyFill="1" applyAlignment="1">
      <alignment horizontal="center" vertical="center" wrapText="1"/>
    </xf>
    <xf numFmtId="0" fontId="2" fillId="6" borderId="0" xfId="0" applyFont="1" applyFill="1" applyAlignment="1">
      <alignment horizontal="right" wrapText="1" readingOrder="1"/>
    </xf>
    <xf numFmtId="17" fontId="2" fillId="6" borderId="0" xfId="0" applyNumberFormat="1" applyFont="1" applyFill="1" applyAlignment="1">
      <alignment horizontal="right" wrapText="1" readingOrder="1"/>
    </xf>
    <xf numFmtId="0" fontId="1" fillId="0" borderId="0" xfId="0" applyFont="1" applyAlignment="1">
      <alignment horizontal="left" wrapText="1" readingOrder="1"/>
    </xf>
    <xf numFmtId="3" fontId="1" fillId="0" borderId="0" xfId="0" applyNumberFormat="1" applyFont="1" applyAlignment="1">
      <alignment horizontal="right" wrapText="1" readingOrder="1"/>
    </xf>
    <xf numFmtId="0" fontId="1" fillId="4" borderId="0" xfId="0" applyFont="1" applyFill="1" applyAlignment="1">
      <alignment horizontal="left" wrapText="1" readingOrder="1"/>
    </xf>
    <xf numFmtId="3" fontId="1" fillId="4" borderId="0" xfId="0" applyNumberFormat="1" applyFont="1" applyFill="1" applyAlignment="1">
      <alignment horizontal="right" wrapText="1" readingOrder="1"/>
    </xf>
    <xf numFmtId="0" fontId="1" fillId="4" borderId="0" xfId="0" applyFont="1" applyFill="1" applyAlignment="1">
      <alignment horizontal="right" wrapText="1" readingOrder="1"/>
    </xf>
    <xf numFmtId="3" fontId="2" fillId="3" borderId="0" xfId="0" applyNumberFormat="1" applyFont="1" applyFill="1" applyAlignment="1">
      <alignment horizontal="right" wrapText="1" readingOrder="1"/>
    </xf>
    <xf numFmtId="2" fontId="1" fillId="0" borderId="0" xfId="0" applyNumberFormat="1" applyFont="1" applyAlignment="1">
      <alignment horizontal="right" wrapText="1" readingOrder="1"/>
    </xf>
    <xf numFmtId="2" fontId="1" fillId="4" borderId="0" xfId="0" applyNumberFormat="1" applyFont="1" applyFill="1" applyAlignment="1">
      <alignment horizontal="right" wrapText="1" readingOrder="1"/>
    </xf>
    <xf numFmtId="2" fontId="2" fillId="3" borderId="0" xfId="0" applyNumberFormat="1" applyFont="1" applyFill="1" applyAlignment="1">
      <alignment horizontal="right" wrapText="1" readingOrder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right" wrapText="1" readingOrder="1"/>
    </xf>
    <xf numFmtId="43" fontId="1" fillId="0" borderId="0" xfId="1" applyFont="1" applyAlignment="1">
      <alignment horizontal="right" wrapText="1" readingOrder="1"/>
    </xf>
    <xf numFmtId="43" fontId="1" fillId="4" borderId="0" xfId="1" applyFont="1" applyFill="1" applyAlignment="1">
      <alignment horizontal="right" wrapText="1" readingOrder="1"/>
    </xf>
    <xf numFmtId="43" fontId="2" fillId="3" borderId="0" xfId="1" applyFont="1" applyFill="1" applyAlignment="1">
      <alignment horizontal="right" wrapText="1" readingOrder="1"/>
    </xf>
    <xf numFmtId="166" fontId="1" fillId="0" borderId="0" xfId="1" applyNumberFormat="1" applyFont="1" applyAlignment="1">
      <alignment horizontal="right" wrapText="1" readingOrder="1"/>
    </xf>
    <xf numFmtId="166" fontId="1" fillId="4" borderId="0" xfId="1" applyNumberFormat="1" applyFont="1" applyFill="1" applyAlignment="1">
      <alignment horizontal="right" wrapText="1" readingOrder="1"/>
    </xf>
    <xf numFmtId="166" fontId="2" fillId="3" borderId="0" xfId="0" applyNumberFormat="1" applyFont="1" applyFill="1" applyAlignment="1">
      <alignment horizontal="right" wrapText="1" readingOrder="1"/>
    </xf>
    <xf numFmtId="172" fontId="6" fillId="4" borderId="0" xfId="0" applyNumberFormat="1" applyFont="1" applyFill="1" applyAlignment="1">
      <alignment horizontal="right" wrapText="1"/>
    </xf>
    <xf numFmtId="0" fontId="6" fillId="4" borderId="0" xfId="0" applyFont="1" applyFill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0" fontId="2" fillId="6" borderId="0" xfId="0" applyFont="1" applyFill="1" applyAlignment="1">
      <alignment wrapText="1" readingOrder="1"/>
    </xf>
    <xf numFmtId="3" fontId="1" fillId="0" borderId="0" xfId="0" applyNumberFormat="1" applyFont="1" applyAlignment="1">
      <alignment wrapText="1" readingOrder="1"/>
    </xf>
    <xf numFmtId="0" fontId="1" fillId="0" borderId="0" xfId="0" applyFont="1" applyAlignment="1">
      <alignment wrapText="1" readingOrder="1"/>
    </xf>
    <xf numFmtId="2" fontId="6" fillId="0" borderId="0" xfId="0" applyNumberFormat="1" applyFont="1" applyAlignment="1">
      <alignment horizontal="right" wrapText="1"/>
    </xf>
    <xf numFmtId="3" fontId="2" fillId="3" borderId="0" xfId="0" applyNumberFormat="1" applyFont="1" applyFill="1" applyAlignment="1">
      <alignment wrapText="1" readingOrder="1"/>
    </xf>
    <xf numFmtId="0" fontId="2" fillId="3" borderId="0" xfId="0" applyFont="1" applyFill="1" applyAlignment="1">
      <alignment horizontal="left" vertical="center" wrapText="1" readingOrder="1"/>
    </xf>
    <xf numFmtId="0" fontId="4" fillId="5" borderId="0" xfId="0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2" fillId="3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1" fillId="4" borderId="0" xfId="0" applyFont="1" applyFill="1" applyAlignment="1">
      <alignment horizontal="center" vertical="center" wrapText="1" readingOrder="1"/>
    </xf>
    <xf numFmtId="0" fontId="1" fillId="4" borderId="0" xfId="0" applyFont="1" applyFill="1" applyAlignment="1">
      <alignment horizontal="left" vertical="center" wrapText="1" readingOrder="1"/>
    </xf>
    <xf numFmtId="0" fontId="2" fillId="3" borderId="0" xfId="0" applyFont="1" applyFill="1" applyAlignment="1">
      <alignment horizontal="right" vertical="center" wrapText="1" readingOrder="1"/>
    </xf>
    <xf numFmtId="0" fontId="1" fillId="15" borderId="0" xfId="0" applyFont="1" applyFill="1" applyAlignment="1">
      <alignment horizontal="center" vertical="center" wrapText="1" readingOrder="1"/>
    </xf>
    <xf numFmtId="0" fontId="1" fillId="13" borderId="0" xfId="0" applyFont="1" applyFill="1" applyAlignment="1">
      <alignment horizontal="right" vertical="center" wrapText="1" readingOrder="1"/>
    </xf>
    <xf numFmtId="0" fontId="1" fillId="13" borderId="0" xfId="0" applyFont="1" applyFill="1" applyAlignment="1">
      <alignment horizontal="left" vertical="center" wrapText="1" readingOrder="1"/>
    </xf>
    <xf numFmtId="0" fontId="1" fillId="13" borderId="0" xfId="0" applyFont="1" applyFill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15" borderId="0" xfId="0" applyFont="1" applyFill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 wrapText="1" readingOrder="1"/>
    </xf>
    <xf numFmtId="0" fontId="1" fillId="4" borderId="6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2" fillId="6" borderId="3" xfId="0" applyFont="1" applyFill="1" applyBorder="1" applyAlignment="1">
      <alignment horizontal="center" vertical="center" wrapText="1" readingOrder="1"/>
    </xf>
    <xf numFmtId="0" fontId="2" fillId="6" borderId="4" xfId="0" applyFont="1" applyFill="1" applyBorder="1" applyAlignment="1">
      <alignment horizontal="center" vertical="center" wrapText="1" readingOrder="1"/>
    </xf>
    <xf numFmtId="0" fontId="2" fillId="6" borderId="5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left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14" borderId="0" xfId="0" applyFont="1" applyFill="1" applyBorder="1" applyAlignment="1">
      <alignment horizontal="left" vertical="center" wrapText="1" readingOrder="1"/>
    </xf>
    <xf numFmtId="0" fontId="1" fillId="14" borderId="6" xfId="0" applyFont="1" applyFill="1" applyBorder="1" applyAlignment="1">
      <alignment horizontal="center" vertical="center" wrapText="1" readingOrder="1"/>
    </xf>
    <xf numFmtId="0" fontId="1" fillId="14" borderId="1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2" fillId="3" borderId="8" xfId="0" applyFont="1" applyFill="1" applyBorder="1" applyAlignment="1">
      <alignment horizontal="left" vertical="center" wrapText="1" readingOrder="1"/>
    </xf>
    <xf numFmtId="0" fontId="2" fillId="3" borderId="8" xfId="0" applyFont="1" applyFill="1" applyBorder="1" applyAlignment="1">
      <alignment horizontal="right" vertical="center" wrapText="1" readingOrder="1"/>
    </xf>
    <xf numFmtId="0" fontId="2" fillId="3" borderId="2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15" borderId="6" xfId="0" applyFont="1" applyFill="1" applyBorder="1" applyAlignment="1">
      <alignment horizontal="center" vertical="center" wrapText="1" readingOrder="1"/>
    </xf>
    <xf numFmtId="0" fontId="1" fillId="15" borderId="0" xfId="0" applyFont="1" applyFill="1" applyBorder="1" applyAlignment="1">
      <alignment horizontal="left" vertical="center" wrapText="1" readingOrder="1"/>
    </xf>
    <xf numFmtId="0" fontId="1" fillId="15" borderId="1" xfId="0" applyFont="1" applyFill="1" applyBorder="1" applyAlignment="1">
      <alignment horizontal="center" vertical="center" wrapText="1" readingOrder="1"/>
    </xf>
    <xf numFmtId="0" fontId="2" fillId="6" borderId="0" xfId="0" applyFont="1" applyFill="1" applyAlignment="1">
      <alignment horizontal="center" wrapText="1" readingOrder="1"/>
    </xf>
    <xf numFmtId="0" fontId="2" fillId="7" borderId="0" xfId="0" applyFont="1" applyFill="1" applyAlignment="1">
      <alignment horizontal="center" vertical="center" wrapText="1" readingOrder="1"/>
    </xf>
    <xf numFmtId="0" fontId="2" fillId="8" borderId="0" xfId="0" applyFont="1" applyFill="1" applyAlignment="1">
      <alignment horizontal="left" vertical="center" wrapText="1" readingOrder="1"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7" borderId="0" xfId="0" applyFont="1" applyFill="1" applyAlignment="1">
      <alignment horizontal="center" wrapText="1" readingOrder="1"/>
    </xf>
    <xf numFmtId="0" fontId="6" fillId="0" borderId="0" xfId="0" applyFont="1" applyAlignment="1">
      <alignment horizontal="center" wrapText="1"/>
    </xf>
    <xf numFmtId="0" fontId="6" fillId="9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16" borderId="0" xfId="0" applyFont="1" applyFill="1" applyAlignment="1">
      <alignment horizontal="left" vertical="center" wrapText="1" readingOrder="1"/>
    </xf>
    <xf numFmtId="0" fontId="6" fillId="0" borderId="0" xfId="0" applyFont="1" applyFill="1" applyAlignment="1">
      <alignment horizontal="left" vertical="center" wrapText="1" readingOrder="1"/>
    </xf>
    <xf numFmtId="0" fontId="11" fillId="3" borderId="0" xfId="0" applyFont="1" applyFill="1" applyAlignment="1">
      <alignment horizontal="left" vertical="center" wrapText="1" readingOrder="1"/>
    </xf>
    <xf numFmtId="0" fontId="6" fillId="16" borderId="0" xfId="0" applyFont="1" applyFill="1" applyAlignment="1">
      <alignment horizontal="center" vertical="center" wrapText="1" readingOrder="1"/>
    </xf>
    <xf numFmtId="0" fontId="1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5" fillId="5" borderId="0" xfId="0" applyFont="1" applyFill="1" applyAlignment="1">
      <alignment horizontal="right" wrapText="1" readingOrder="1"/>
    </xf>
    <xf numFmtId="0" fontId="6" fillId="0" borderId="0" xfId="0" applyFont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 readingOrder="1"/>
    </xf>
    <xf numFmtId="0" fontId="15" fillId="5" borderId="0" xfId="0" applyFont="1" applyFill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4" fillId="5" borderId="0" xfId="0" applyFont="1" applyFill="1" applyAlignment="1">
      <alignment horizontal="right" vertical="center" wrapText="1" readingOrder="1"/>
    </xf>
    <xf numFmtId="0" fontId="2" fillId="11" borderId="0" xfId="0" applyFont="1" applyFill="1" applyAlignment="1">
      <alignment horizontal="center" wrapText="1" readingOrder="1"/>
    </xf>
    <xf numFmtId="0" fontId="4" fillId="5" borderId="0" xfId="0" applyFont="1" applyFill="1" applyAlignment="1">
      <alignment horizontal="right" wrapText="1" readingOrder="1"/>
    </xf>
    <xf numFmtId="0" fontId="15" fillId="5" borderId="0" xfId="0" applyFont="1" applyFill="1" applyAlignment="1">
      <alignment horizontal="left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4" fillId="12" borderId="0" xfId="0" applyFont="1" applyFill="1" applyAlignment="1">
      <alignment horizontal="center" wrapText="1" readingOrder="1"/>
    </xf>
    <xf numFmtId="0" fontId="1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21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2" fillId="20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4" fillId="0" borderId="0" xfId="0" applyFont="1" applyAlignment="1">
      <alignment horizontal="left" wrapText="1" readingOrder="1"/>
    </xf>
    <xf numFmtId="0" fontId="34" fillId="0" borderId="0" xfId="0" applyFont="1" applyAlignment="1">
      <alignment horizontal="left" wrapText="1" readingOrder="1"/>
    </xf>
  </cellXfs>
  <cellStyles count="5">
    <cellStyle name="Millares" xfId="1" builtinId="3"/>
    <cellStyle name="Normal" xfId="0" builtinId="0"/>
    <cellStyle name="Normal 2 2 2" xfId="4"/>
    <cellStyle name="Normal 3" xfId="2"/>
    <cellStyle name="Porcentaje" xfId="3" builtinId="5"/>
  </cellStyles>
  <dxfs count="0"/>
  <tableStyles count="0" defaultTableStyle="TableStyleMedium2" defaultPivotStyle="PivotStyleLight16"/>
  <colors>
    <mruColors>
      <color rgb="FF00638D"/>
      <color rgb="FF6EC4A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0.16666666666666666"/>
          <c:w val="0.87129396325459318"/>
          <c:h val="0.67507728200641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EC4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EC4A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A6D-417A-9595-9A04985EB101}"/>
              </c:ext>
            </c:extLst>
          </c:dPt>
          <c:dPt>
            <c:idx val="1"/>
            <c:invertIfNegative val="0"/>
            <c:bubble3D val="0"/>
            <c:spPr>
              <a:solidFill>
                <a:srgbClr val="0063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0ED-4330-A89F-499C45C33963}"/>
              </c:ext>
            </c:extLst>
          </c:dPt>
          <c:dPt>
            <c:idx val="2"/>
            <c:invertIfNegative val="0"/>
            <c:bubble3D val="0"/>
            <c:spPr>
              <a:solidFill>
                <a:srgbClr val="0063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ED-4330-A89F-499C45C3396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6D-417A-9595-9A04985EB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'01'!$B$33:$B$37</c:f>
              <c:strCache>
                <c:ptCount val="5"/>
                <c:pt idx="0">
                  <c:v>Acum. (2017-2019)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Acum. (2020-2022)</c:v>
                </c:pt>
              </c:strCache>
            </c:strRef>
          </c:cat>
          <c:val>
            <c:numRef>
              <c:f>'01'!$C$33:$C$37</c:f>
              <c:numCache>
                <c:formatCode>#,##0</c:formatCode>
                <c:ptCount val="5"/>
                <c:pt idx="0">
                  <c:v>376.22</c:v>
                </c:pt>
                <c:pt idx="1">
                  <c:v>264</c:v>
                </c:pt>
                <c:pt idx="2">
                  <c:v>3000</c:v>
                </c:pt>
                <c:pt idx="3">
                  <c:v>0</c:v>
                </c:pt>
                <c:pt idx="4">
                  <c:v>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D-417A-9595-9A04985EB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17568"/>
        <c:axId val="83119104"/>
      </c:barChart>
      <c:catAx>
        <c:axId val="8311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119104"/>
        <c:crosses val="autoZero"/>
        <c:auto val="1"/>
        <c:lblAlgn val="ctr"/>
        <c:lblOffset val="100"/>
        <c:noMultiLvlLbl val="0"/>
      </c:catAx>
      <c:valAx>
        <c:axId val="83119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11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PRODUCCIÓN</a:t>
            </a:r>
            <a:r>
              <a:rPr lang="es-PE" baseline="0"/>
              <a:t> FISCALIZADA DE GAS NATURAL</a:t>
            </a:r>
            <a:endParaRPr lang="es-PE"/>
          </a:p>
        </c:rich>
      </c:tx>
      <c:layout>
        <c:manualLayout>
          <c:xMode val="edge"/>
          <c:yMode val="edge"/>
          <c:x val="0.36605424509921319"/>
          <c:y val="7.24699059977585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69257510552937"/>
          <c:y val="0.17954437043106578"/>
          <c:w val="0.75817536760541926"/>
          <c:h val="0.59332952319473875"/>
        </c:manualLayout>
      </c:layout>
      <c:areaChart>
        <c:grouping val="standard"/>
        <c:varyColors val="0"/>
        <c:ser>
          <c:idx val="0"/>
          <c:order val="0"/>
          <c:tx>
            <c:strRef>
              <c:f>'11'!$B$26</c:f>
              <c:strCache>
                <c:ptCount val="1"/>
                <c:pt idx="0">
                  <c:v>Total (MMPC)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 w="25400">
              <a:noFill/>
            </a:ln>
          </c:spPr>
          <c:cat>
            <c:strRef>
              <c:f>'[1]5'!$V$31:$V$42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'11'!$C$26:$N$26</c:f>
              <c:numCache>
                <c:formatCode>#,##0.0</c:formatCode>
                <c:ptCount val="12"/>
                <c:pt idx="0">
                  <c:v>40794.345999999998</c:v>
                </c:pt>
                <c:pt idx="1">
                  <c:v>35396.462</c:v>
                </c:pt>
                <c:pt idx="2">
                  <c:v>37036.497000000003</c:v>
                </c:pt>
                <c:pt idx="3">
                  <c:v>33572.574000000001</c:v>
                </c:pt>
                <c:pt idx="4">
                  <c:v>33658.913999999997</c:v>
                </c:pt>
                <c:pt idx="5">
                  <c:v>33640.235999999997</c:v>
                </c:pt>
                <c:pt idx="6">
                  <c:v>41558.080000000002</c:v>
                </c:pt>
                <c:pt idx="7">
                  <c:v>46783.457000000002</c:v>
                </c:pt>
                <c:pt idx="8">
                  <c:v>46678.809000000001</c:v>
                </c:pt>
                <c:pt idx="9">
                  <c:v>44003.205999999998</c:v>
                </c:pt>
                <c:pt idx="10">
                  <c:v>42551.43</c:v>
                </c:pt>
                <c:pt idx="11">
                  <c:v>38560.866999999998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9-4147-995C-7CCF22680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92576"/>
        <c:axId val="85994112"/>
      </c:areaChart>
      <c:lineChart>
        <c:grouping val="standard"/>
        <c:varyColors val="0"/>
        <c:ser>
          <c:idx val="2"/>
          <c:order val="2"/>
          <c:tx>
            <c:v>Selva</c:v>
          </c:tx>
          <c:marker>
            <c:symbol val="circle"/>
            <c:size val="9"/>
            <c:spPr>
              <a:solidFill>
                <a:srgbClr val="C0000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'11'!$C$21:$N$21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'11'!$C$29:$N$29</c:f>
              <c:numCache>
                <c:formatCode>#,##0.0</c:formatCode>
                <c:ptCount val="12"/>
                <c:pt idx="0">
                  <c:v>39338.006999999998</c:v>
                </c:pt>
                <c:pt idx="1">
                  <c:v>34073.699999999997</c:v>
                </c:pt>
                <c:pt idx="2">
                  <c:v>35606.385999999999</c:v>
                </c:pt>
                <c:pt idx="3">
                  <c:v>32189.401999999998</c:v>
                </c:pt>
                <c:pt idx="4">
                  <c:v>32103.050999999999</c:v>
                </c:pt>
                <c:pt idx="5">
                  <c:v>32080.267</c:v>
                </c:pt>
                <c:pt idx="6">
                  <c:v>39899.868999999999</c:v>
                </c:pt>
                <c:pt idx="7">
                  <c:v>45063.7</c:v>
                </c:pt>
                <c:pt idx="8">
                  <c:v>45084.563000000002</c:v>
                </c:pt>
                <c:pt idx="9">
                  <c:v>42261.281000000003</c:v>
                </c:pt>
                <c:pt idx="10">
                  <c:v>40993.911999999997</c:v>
                </c:pt>
                <c:pt idx="11">
                  <c:v>36874.502999999997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9-4147-995C-7CCF22680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92576"/>
        <c:axId val="85994112"/>
      </c:lineChart>
      <c:lineChart>
        <c:grouping val="standard"/>
        <c:varyColors val="0"/>
        <c:ser>
          <c:idx val="1"/>
          <c:order val="1"/>
          <c:tx>
            <c:v>Costa y Zócalo</c:v>
          </c:tx>
          <c:marker>
            <c:symbol val="diamond"/>
            <c:size val="9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'[1]5'!$W$20:$AH$20</c:f>
              <c:numCache>
                <c:formatCode>General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'11'!$C$28:$N$28</c:f>
              <c:numCache>
                <c:formatCode>#,##0.0</c:formatCode>
                <c:ptCount val="12"/>
                <c:pt idx="0">
                  <c:v>1456.3389999999999</c:v>
                </c:pt>
                <c:pt idx="1">
                  <c:v>1322.7619999999999</c:v>
                </c:pt>
                <c:pt idx="2">
                  <c:v>1430.1110000000001</c:v>
                </c:pt>
                <c:pt idx="3">
                  <c:v>1383.172</c:v>
                </c:pt>
                <c:pt idx="4">
                  <c:v>1555.8630000000001</c:v>
                </c:pt>
                <c:pt idx="5">
                  <c:v>1559.9690000000001</c:v>
                </c:pt>
                <c:pt idx="6">
                  <c:v>1658.211</c:v>
                </c:pt>
                <c:pt idx="7">
                  <c:v>1719.7570000000001</c:v>
                </c:pt>
                <c:pt idx="8">
                  <c:v>1594.2460000000001</c:v>
                </c:pt>
                <c:pt idx="9">
                  <c:v>1741.925</c:v>
                </c:pt>
                <c:pt idx="10">
                  <c:v>1557.518</c:v>
                </c:pt>
                <c:pt idx="11">
                  <c:v>1686.364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9-4147-995C-7CCF22680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43264"/>
        <c:axId val="86041344"/>
      </c:lineChart>
      <c:catAx>
        <c:axId val="8599257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85994112"/>
        <c:crosses val="autoZero"/>
        <c:auto val="1"/>
        <c:lblAlgn val="ctr"/>
        <c:lblOffset val="100"/>
        <c:noMultiLvlLbl val="1"/>
      </c:catAx>
      <c:valAx>
        <c:axId val="85994112"/>
        <c:scaling>
          <c:orientation val="minMax"/>
          <c:max val="48000"/>
          <c:min val="9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MMPC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85992576"/>
        <c:crosses val="autoZero"/>
        <c:crossBetween val="between"/>
      </c:valAx>
      <c:valAx>
        <c:axId val="86041344"/>
        <c:scaling>
          <c:orientation val="minMax"/>
          <c:max val="2700"/>
          <c:min val="1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MMPC</a:t>
                </a:r>
              </a:p>
            </c:rich>
          </c:tx>
          <c:layout>
            <c:manualLayout>
              <c:xMode val="edge"/>
              <c:yMode val="edge"/>
              <c:x val="0.92995002517161429"/>
              <c:y val="0.4376019665308152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86043264"/>
        <c:crosses val="max"/>
        <c:crossBetween val="between"/>
      </c:valAx>
      <c:catAx>
        <c:axId val="8604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0413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.33431450841672022"/>
          <c:y val="0.89790142202575141"/>
          <c:w val="0.36194467176077949"/>
          <c:h val="5.190425198984637E-2"/>
        </c:manualLayout>
      </c:layout>
      <c:overlay val="0"/>
      <c:txPr>
        <a:bodyPr/>
        <a:lstStyle/>
        <a:p>
          <a:pPr>
            <a:defRPr sz="14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73862642169729"/>
          <c:y val="0.15492814709364675"/>
          <c:w val="0.82870581802274712"/>
          <c:h val="0.752240050606530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'12'!$C$3:$I$3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'12'!$C$19:$I$19</c:f>
              <c:numCache>
                <c:formatCode>#,##0.00</c:formatCode>
                <c:ptCount val="7"/>
                <c:pt idx="0">
                  <c:v>1179.5999999999999</c:v>
                </c:pt>
                <c:pt idx="1">
                  <c:v>1250.4000000000001</c:v>
                </c:pt>
                <c:pt idx="2">
                  <c:v>1208.9000000000001</c:v>
                </c:pt>
                <c:pt idx="3">
                  <c:v>1354.6</c:v>
                </c:pt>
                <c:pt idx="4">
                  <c:v>1252.2</c:v>
                </c:pt>
                <c:pt idx="5">
                  <c:v>1230.8</c:v>
                </c:pt>
                <c:pt idx="6">
                  <c:v>1299.2736301369862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B-44BA-A16E-0CC3B9EC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65856"/>
        <c:axId val="86267392"/>
      </c:barChart>
      <c:catAx>
        <c:axId val="862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267392"/>
        <c:crosses val="autoZero"/>
        <c:auto val="1"/>
        <c:lblAlgn val="ctr"/>
        <c:lblOffset val="100"/>
        <c:noMultiLvlLbl val="0"/>
      </c:catAx>
      <c:valAx>
        <c:axId val="86267392"/>
        <c:scaling>
          <c:orientation val="minMax"/>
          <c:max val="1400"/>
          <c:min val="1000"/>
        </c:scaling>
        <c:delete val="0"/>
        <c:axPos val="l"/>
        <c:numFmt formatCode="#,##0.00" sourceLinked="1"/>
        <c:majorTickMark val="out"/>
        <c:minorTickMark val="none"/>
        <c:tickLblPos val="nextTo"/>
        <c:crossAx val="8626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'12'!$C$50:$F$50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'12'!$C$51:$F$51</c:f>
              <c:numCache>
                <c:formatCode>_ * #,##0.0_ ;_ * \-#,##0.0_ ;_ * "-"??_ ;_ @_ </c:formatCode>
                <c:ptCount val="4"/>
                <c:pt idx="0">
                  <c:v>1382.1969999999999</c:v>
                </c:pt>
                <c:pt idx="1">
                  <c:v>1431.9079999999999</c:v>
                </c:pt>
                <c:pt idx="2">
                  <c:v>1468.941</c:v>
                </c:pt>
                <c:pt idx="3">
                  <c:v>1606.414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A-4F0E-8515-2658F50A1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12832"/>
        <c:axId val="86314368"/>
      </c:barChart>
      <c:catAx>
        <c:axId val="86312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86314368"/>
        <c:crosses val="autoZero"/>
        <c:auto val="1"/>
        <c:lblAlgn val="ctr"/>
        <c:lblOffset val="100"/>
        <c:noMultiLvlLbl val="0"/>
      </c:catAx>
      <c:valAx>
        <c:axId val="86314368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8631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70436649964203E-2"/>
          <c:y val="0.23658573928258966"/>
          <c:w val="0.85873194941541398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'14'!$A$4</c:f>
              <c:strCache>
                <c:ptCount val="1"/>
                <c:pt idx="0">
                  <c:v>EXPLORACIÓN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6F6-438C-95D9-320E27F998E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6F6-438C-95D9-320E27F998E0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6F6-438C-95D9-320E27F998E0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06F6-438C-95D9-320E27F998E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'14'!$B$3:$H$3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'14'!$B$4:$H$4</c:f>
              <c:numCache>
                <c:formatCode>General</c:formatCode>
                <c:ptCount val="7"/>
                <c:pt idx="0">
                  <c:v>492.44</c:v>
                </c:pt>
                <c:pt idx="1">
                  <c:v>501.76</c:v>
                </c:pt>
                <c:pt idx="2">
                  <c:v>316.69</c:v>
                </c:pt>
                <c:pt idx="3">
                  <c:v>46.95</c:v>
                </c:pt>
                <c:pt idx="4">
                  <c:v>17.079999999999998</c:v>
                </c:pt>
                <c:pt idx="5">
                  <c:v>40.76</c:v>
                </c:pt>
                <c:pt idx="6" formatCode="_(* #,##0.00_);_(* \(#,##0.00\);_(* &quot;-&quot;??_);_(@_)">
                  <c:v>57.727806999999999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6F6-438C-95D9-320E27F998E0}"/>
            </c:ext>
          </c:extLst>
        </c:ser>
        <c:ser>
          <c:idx val="1"/>
          <c:order val="1"/>
          <c:tx>
            <c:strRef>
              <c:f>'14'!$A$5</c:f>
              <c:strCache>
                <c:ptCount val="1"/>
                <c:pt idx="0">
                  <c:v>EXPLOTACIÓN</c:v>
                </c:pt>
              </c:strCache>
            </c:strRef>
          </c:tx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6F6-438C-95D9-320E27F998E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6F6-438C-95D9-320E27F998E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6F6-438C-95D9-320E27F998E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6F6-438C-95D9-320E27F998E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6F6-438C-95D9-320E27F998E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'14'!$B$3:$H$3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'14'!$B$5:$H$5</c:f>
              <c:numCache>
                <c:formatCode>General</c:formatCode>
                <c:ptCount val="7"/>
                <c:pt idx="0">
                  <c:v>895.41</c:v>
                </c:pt>
                <c:pt idx="1">
                  <c:v>688.01</c:v>
                </c:pt>
                <c:pt idx="2">
                  <c:v>438.23</c:v>
                </c:pt>
                <c:pt idx="3">
                  <c:v>285.69</c:v>
                </c:pt>
                <c:pt idx="4">
                  <c:v>469.79</c:v>
                </c:pt>
                <c:pt idx="5">
                  <c:v>561.16999999999996</c:v>
                </c:pt>
                <c:pt idx="6" formatCode="_(* #,##0.00_);_(* \(#,##0.00\);_(* &quot;-&quot;??_);_(@_)">
                  <c:v>561.99657999999999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6F6-438C-95D9-320E27F99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07808"/>
        <c:axId val="86425984"/>
      </c:barChart>
      <c:catAx>
        <c:axId val="864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425984"/>
        <c:crosses val="autoZero"/>
        <c:auto val="1"/>
        <c:lblAlgn val="ctr"/>
        <c:lblOffset val="100"/>
        <c:noMultiLvlLbl val="0"/>
      </c:catAx>
      <c:valAx>
        <c:axId val="8642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4078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916783583870203"/>
          <c:y val="0.12037037037037036"/>
          <c:w val="0.32105826771653545"/>
          <c:h val="6.930263925342665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70436649964203E-2"/>
          <c:y val="0.23658573928258966"/>
          <c:w val="0.85873194941541398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'15'!$A$4</c:f>
              <c:strCache>
                <c:ptCount val="1"/>
                <c:pt idx="0">
                  <c:v>EXPLORACIÓN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09A-47D3-A35E-772D506514F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09A-47D3-A35E-772D506514F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09A-47D3-A35E-772D506514F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09A-47D3-A35E-772D506514F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9A-47D3-A35E-772D506514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'15'!$B$3:$E$3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'15'!$B$4:$E$4</c:f>
              <c:numCache>
                <c:formatCode>General</c:formatCode>
                <c:ptCount val="4"/>
                <c:pt idx="0">
                  <c:v>115</c:v>
                </c:pt>
                <c:pt idx="1">
                  <c:v>82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09A-47D3-A35E-772D506514F4}"/>
            </c:ext>
          </c:extLst>
        </c:ser>
        <c:ser>
          <c:idx val="1"/>
          <c:order val="1"/>
          <c:tx>
            <c:strRef>
              <c:f>'15'!$A$5</c:f>
              <c:strCache>
                <c:ptCount val="1"/>
                <c:pt idx="0">
                  <c:v>EXPLOTACIÓN</c:v>
                </c:pt>
              </c:strCache>
            </c:strRef>
          </c:tx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09A-47D3-A35E-772D506514F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09A-47D3-A35E-772D506514F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09A-47D3-A35E-772D506514F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9A-47D3-A35E-772D506514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09A-47D3-A35E-772D506514F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'15'!$B$3:$E$3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'15'!$B$5:$E$5</c:f>
              <c:numCache>
                <c:formatCode>General</c:formatCode>
                <c:ptCount val="4"/>
                <c:pt idx="0">
                  <c:v>722</c:v>
                </c:pt>
                <c:pt idx="1">
                  <c:v>773</c:v>
                </c:pt>
                <c:pt idx="2">
                  <c:v>887</c:v>
                </c:pt>
                <c:pt idx="3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9A-47D3-A35E-772D50651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91904"/>
        <c:axId val="86493440"/>
      </c:barChart>
      <c:catAx>
        <c:axId val="864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493440"/>
        <c:crosses val="autoZero"/>
        <c:auto val="1"/>
        <c:lblAlgn val="ctr"/>
        <c:lblOffset val="100"/>
        <c:noMultiLvlLbl val="0"/>
      </c:catAx>
      <c:valAx>
        <c:axId val="8649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491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916783583870203"/>
          <c:y val="0.12037037037037036"/>
          <c:w val="0.32105826771653545"/>
          <c:h val="6.930263925342665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18812318126465"/>
          <c:y val="0.2130551214891945"/>
          <c:w val="0.81462248468941378"/>
          <c:h val="0.689101049868766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'18'!$B$3:$I$3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'18'!$B$8:$I$8</c:f>
              <c:numCache>
                <c:formatCode>General</c:formatCode>
                <c:ptCount val="8"/>
                <c:pt idx="0">
                  <c:v>1999.78</c:v>
                </c:pt>
                <c:pt idx="1">
                  <c:v>2020.94</c:v>
                </c:pt>
                <c:pt idx="2">
                  <c:v>1690.63</c:v>
                </c:pt>
                <c:pt idx="3">
                  <c:v>768.96140000000003</c:v>
                </c:pt>
                <c:pt idx="4">
                  <c:v>660.25459999999998</c:v>
                </c:pt>
                <c:pt idx="5">
                  <c:v>828.83</c:v>
                </c:pt>
                <c:pt idx="6">
                  <c:v>1092.93</c:v>
                </c:pt>
                <c:pt idx="7">
                  <c:v>837.19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6-4463-9891-E04F9741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6848"/>
        <c:axId val="86856832"/>
      </c:barChart>
      <c:catAx>
        <c:axId val="868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856832"/>
        <c:crosses val="autoZero"/>
        <c:auto val="1"/>
        <c:lblAlgn val="ctr"/>
        <c:lblOffset val="100"/>
        <c:noMultiLvlLbl val="0"/>
      </c:catAx>
      <c:valAx>
        <c:axId val="8685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846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0.16666666666666666"/>
          <c:w val="0.87129396325459318"/>
          <c:h val="0.67507728200641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3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D1-4D89-B57F-9981242D3AA4}"/>
              </c:ext>
            </c:extLst>
          </c:dPt>
          <c:dPt>
            <c:idx val="4"/>
            <c:invertIfNegative val="0"/>
            <c:bubble3D val="0"/>
            <c:spPr>
              <a:solidFill>
                <a:srgbClr val="6EC4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C-42A7-A187-A453E000E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'02'!$C$19:$C$23</c:f>
              <c:strCache>
                <c:ptCount val="5"/>
                <c:pt idx="0">
                  <c:v>Acum. (2017-2019)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Acum. (2020-2022)</c:v>
                </c:pt>
              </c:strCache>
            </c:strRef>
          </c:cat>
          <c:val>
            <c:numRef>
              <c:f>'02'!$D$19:$D$23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7C-42A7-A187-A453E000E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88352"/>
        <c:axId val="83190144"/>
      </c:barChart>
      <c:catAx>
        <c:axId val="831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190144"/>
        <c:crosses val="autoZero"/>
        <c:auto val="1"/>
        <c:lblAlgn val="ctr"/>
        <c:lblOffset val="100"/>
        <c:noMultiLvlLbl val="0"/>
      </c:catAx>
      <c:valAx>
        <c:axId val="83190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1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0.16666666666666666"/>
          <c:w val="0.87129396325459318"/>
          <c:h val="0.67507728200641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EC4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AAA-419F-8A64-67401BCFBD00}"/>
              </c:ext>
            </c:extLst>
          </c:dPt>
          <c:dPt>
            <c:idx val="1"/>
            <c:invertIfNegative val="0"/>
            <c:bubble3D val="0"/>
            <c:spPr>
              <a:solidFill>
                <a:srgbClr val="0063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1F-45C1-BE61-404737864AE2}"/>
              </c:ext>
            </c:extLst>
          </c:dPt>
          <c:dPt>
            <c:idx val="2"/>
            <c:invertIfNegative val="0"/>
            <c:bubble3D val="0"/>
            <c:spPr>
              <a:solidFill>
                <a:srgbClr val="0063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1F-45C1-BE61-404737864AE2}"/>
              </c:ext>
            </c:extLst>
          </c:dPt>
          <c:dPt>
            <c:idx val="3"/>
            <c:invertIfNegative val="0"/>
            <c:bubble3D val="0"/>
            <c:spPr>
              <a:solidFill>
                <a:srgbClr val="0063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1F-45C1-BE61-404737864AE2}"/>
              </c:ext>
            </c:extLst>
          </c:dPt>
          <c:dPt>
            <c:idx val="4"/>
            <c:invertIfNegative val="0"/>
            <c:bubble3D val="0"/>
            <c:spPr>
              <a:solidFill>
                <a:srgbClr val="6EC4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AA-419F-8A64-67401BCFBD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'06'!$B$30:$B$34</c:f>
              <c:strCache>
                <c:ptCount val="5"/>
                <c:pt idx="0">
                  <c:v>Acum. (2017-2019)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Acum. (2020-2022)</c:v>
                </c:pt>
              </c:strCache>
            </c:strRef>
          </c:cat>
          <c:val>
            <c:numRef>
              <c:f>'06'!$C$30:$C$34</c:f>
              <c:numCache>
                <c:formatCode>#,##0</c:formatCode>
                <c:ptCount val="5"/>
                <c:pt idx="0">
                  <c:v>492</c:v>
                </c:pt>
                <c:pt idx="1">
                  <c:v>95</c:v>
                </c:pt>
                <c:pt idx="2">
                  <c:v>94</c:v>
                </c:pt>
                <c:pt idx="3">
                  <c:v>102</c:v>
                </c:pt>
                <c:pt idx="4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AA-419F-8A64-67401BCFB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491072"/>
        <c:axId val="83705856"/>
      </c:barChart>
      <c:catAx>
        <c:axId val="834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705856"/>
        <c:crosses val="autoZero"/>
        <c:auto val="1"/>
        <c:lblAlgn val="ctr"/>
        <c:lblOffset val="100"/>
        <c:noMultiLvlLbl val="0"/>
      </c:catAx>
      <c:valAx>
        <c:axId val="83705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49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3808216795044023"/>
                  <c:y val="-0.1827634972537912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67-48D5-A922-7B052D520A09}"/>
                </c:ext>
              </c:extLst>
            </c:dLbl>
            <c:dLbl>
              <c:idx val="1"/>
              <c:layout>
                <c:manualLayout>
                  <c:x val="0.18410955726725362"/>
                  <c:y val="0.1208097693711501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67-48D5-A922-7B052D520A09}"/>
                </c:ext>
              </c:extLst>
            </c:dLbl>
            <c:dLbl>
              <c:idx val="2"/>
              <c:layout>
                <c:manualLayout>
                  <c:x val="-0.17643832571445139"/>
                  <c:y val="-0.2261311067716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67-48D5-A922-7B052D520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'[1]2'!$W$8:$W$10</c:f>
              <c:strCache>
                <c:ptCount val="3"/>
                <c:pt idx="0">
                  <c:v>Costa</c:v>
                </c:pt>
                <c:pt idx="1">
                  <c:v>Zócalo</c:v>
                </c:pt>
                <c:pt idx="2">
                  <c:v>Selva</c:v>
                </c:pt>
              </c:strCache>
            </c:strRef>
          </c:cat>
          <c:val>
            <c:numRef>
              <c:f>'08'!$L$10:$L$12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67-48D5-A922-7B052D520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bg1">
        <a:lumMod val="75000"/>
      </a:schemeClr>
    </a:solidFill>
  </c:spPr>
  <c:txPr>
    <a:bodyPr/>
    <a:lstStyle/>
    <a:p>
      <a:pPr>
        <a:defRPr sz="105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v>PETRÓLEO</c:v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'09'!$C$3:$N$3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'09'!$C$32:$N$32</c:f>
              <c:numCache>
                <c:formatCode>#,##0</c:formatCode>
                <c:ptCount val="12"/>
                <c:pt idx="0">
                  <c:v>1176474</c:v>
                </c:pt>
                <c:pt idx="1">
                  <c:v>1319470</c:v>
                </c:pt>
                <c:pt idx="2">
                  <c:v>1591999</c:v>
                </c:pt>
                <c:pt idx="3">
                  <c:v>1613016</c:v>
                </c:pt>
                <c:pt idx="4">
                  <c:v>1753827</c:v>
                </c:pt>
                <c:pt idx="5">
                  <c:v>1499642</c:v>
                </c:pt>
                <c:pt idx="6">
                  <c:v>1361416</c:v>
                </c:pt>
                <c:pt idx="7">
                  <c:v>1747481</c:v>
                </c:pt>
                <c:pt idx="8">
                  <c:v>1774539</c:v>
                </c:pt>
                <c:pt idx="9">
                  <c:v>1737369</c:v>
                </c:pt>
                <c:pt idx="10">
                  <c:v>1912149</c:v>
                </c:pt>
                <c:pt idx="11">
                  <c:v>1851687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F-41F0-A774-5A4C131955A8}"/>
            </c:ext>
          </c:extLst>
        </c:ser>
        <c:ser>
          <c:idx val="1"/>
          <c:order val="1"/>
          <c:tx>
            <c:v>LGN</c:v>
          </c:tx>
          <c:spPr>
            <a:ln w="25400">
              <a:noFill/>
            </a:ln>
          </c:spPr>
          <c:cat>
            <c:strRef>
              <c:f>'09'!$C$3:$N$3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'09'!$C$44:$N$44</c:f>
              <c:numCache>
                <c:formatCode>#,##0</c:formatCode>
                <c:ptCount val="12"/>
                <c:pt idx="0">
                  <c:v>2893508</c:v>
                </c:pt>
                <c:pt idx="1">
                  <c:v>2670225</c:v>
                </c:pt>
                <c:pt idx="2">
                  <c:v>2750919</c:v>
                </c:pt>
                <c:pt idx="3">
                  <c:v>2283124</c:v>
                </c:pt>
                <c:pt idx="4">
                  <c:v>2468624</c:v>
                </c:pt>
                <c:pt idx="5">
                  <c:v>2609520</c:v>
                </c:pt>
                <c:pt idx="6">
                  <c:v>2732646</c:v>
                </c:pt>
                <c:pt idx="7">
                  <c:v>2673826</c:v>
                </c:pt>
                <c:pt idx="8">
                  <c:v>2707200</c:v>
                </c:pt>
                <c:pt idx="9">
                  <c:v>2542773</c:v>
                </c:pt>
                <c:pt idx="10">
                  <c:v>2669142</c:v>
                </c:pt>
                <c:pt idx="11">
                  <c:v>2657653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F-41F0-A774-5A4C1319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85696"/>
        <c:axId val="84299776"/>
      </c:areaChart>
      <c:catAx>
        <c:axId val="84285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299776"/>
        <c:crosses val="autoZero"/>
        <c:auto val="1"/>
        <c:lblAlgn val="ctr"/>
        <c:lblOffset val="100"/>
        <c:noMultiLvlLbl val="0"/>
      </c:catAx>
      <c:valAx>
        <c:axId val="84299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84285696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5888013998249"/>
          <c:y val="0"/>
          <c:w val="0.60131014873140853"/>
          <c:h val="1"/>
        </c:manualLayout>
      </c:layout>
      <c:pieChart>
        <c:varyColors val="1"/>
        <c:ser>
          <c:idx val="0"/>
          <c:order val="0"/>
          <c:explosion val="9"/>
          <c:dLbls>
            <c:dLbl>
              <c:idx val="0"/>
              <c:layout>
                <c:manualLayout>
                  <c:x val="0.13332417955056036"/>
                  <c:y val="3.986892854295076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1B-4ECC-9C33-2C56200EDE7B}"/>
                </c:ext>
              </c:extLst>
            </c:dLbl>
            <c:dLbl>
              <c:idx val="1"/>
              <c:layout>
                <c:manualLayout>
                  <c:x val="0.13544043636882308"/>
                  <c:y val="-7.57509642316064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1B-4ECC-9C33-2C56200EDE7B}"/>
                </c:ext>
              </c:extLst>
            </c:dLbl>
            <c:dLbl>
              <c:idx val="2"/>
              <c:layout>
                <c:manualLayout>
                  <c:x val="-6.3487704547885895E-2"/>
                  <c:y val="2.39213571257704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1B-4ECC-9C33-2C56200ED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es-PE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'[1]3'!$R$71:$R$73</c:f>
              <c:strCache>
                <c:ptCount val="3"/>
                <c:pt idx="0">
                  <c:v>ZÓCALO</c:v>
                </c:pt>
                <c:pt idx="1">
                  <c:v>SELVA</c:v>
                </c:pt>
                <c:pt idx="2">
                  <c:v>COSTA</c:v>
                </c:pt>
              </c:strCache>
            </c:strRef>
          </c:cat>
          <c:val>
            <c:numRef>
              <c:f>'09'!$T$46:$T$48</c:f>
              <c:numCache>
                <c:formatCode>#,##0</c:formatCode>
                <c:ptCount val="3"/>
                <c:pt idx="0">
                  <c:v>3441460</c:v>
                </c:pt>
                <c:pt idx="1">
                  <c:v>38503083</c:v>
                </c:pt>
                <c:pt idx="2">
                  <c:v>9053686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1B-4ECC-9C33-2C56200ED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675E-2"/>
          <c:y val="0.18565981335666376"/>
          <c:w val="0.87635870516185477"/>
          <c:h val="0.698360309128025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'10'!$C$4:$I$4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'10'!$C$34:$I$34</c:f>
              <c:numCache>
                <c:formatCode>General</c:formatCode>
                <c:ptCount val="7"/>
                <c:pt idx="0">
                  <c:v>62.9</c:v>
                </c:pt>
                <c:pt idx="1">
                  <c:v>69.3</c:v>
                </c:pt>
                <c:pt idx="2">
                  <c:v>58</c:v>
                </c:pt>
                <c:pt idx="3">
                  <c:v>40.5</c:v>
                </c:pt>
                <c:pt idx="4">
                  <c:v>43.6</c:v>
                </c:pt>
                <c:pt idx="5">
                  <c:v>48.9</c:v>
                </c:pt>
                <c:pt idx="6" formatCode="_-* #,##0.0_-;\-* #,##0.0_-;_-* &quot;-&quot;??_-;_-@_-">
                  <c:v>52.983750684931508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A-4FE3-81C8-2281105F7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73888"/>
        <c:axId val="84375424"/>
      </c:barChart>
      <c:catAx>
        <c:axId val="8437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375424"/>
        <c:crosses val="autoZero"/>
        <c:auto val="1"/>
        <c:lblAlgn val="ctr"/>
        <c:lblOffset val="100"/>
        <c:noMultiLvlLbl val="0"/>
      </c:catAx>
      <c:valAx>
        <c:axId val="84375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437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675E-2"/>
          <c:y val="0.18565981335666376"/>
          <c:w val="0.87635870516185477"/>
          <c:h val="0.698360309128025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'10'!$C$4:$I$4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'10'!$C$46:$I$46</c:f>
              <c:numCache>
                <c:formatCode>General</c:formatCode>
                <c:ptCount val="7"/>
                <c:pt idx="0">
                  <c:v>104.6</c:v>
                </c:pt>
                <c:pt idx="1">
                  <c:v>103.4</c:v>
                </c:pt>
                <c:pt idx="2">
                  <c:v>91.4</c:v>
                </c:pt>
                <c:pt idx="3">
                  <c:v>95</c:v>
                </c:pt>
                <c:pt idx="4">
                  <c:v>90.8</c:v>
                </c:pt>
                <c:pt idx="5">
                  <c:v>85.5</c:v>
                </c:pt>
                <c:pt idx="6" formatCode="_-* #,##0.0_-;\-* #,##0.0_-;_-* &quot;-&quot;??_-;_-@_-">
                  <c:v>86.737424657534248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3-4A4A-85D8-F891BE040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88096"/>
        <c:axId val="84398080"/>
      </c:barChart>
      <c:catAx>
        <c:axId val="843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398080"/>
        <c:crosses val="autoZero"/>
        <c:auto val="1"/>
        <c:lblAlgn val="ctr"/>
        <c:lblOffset val="100"/>
        <c:noMultiLvlLbl val="0"/>
      </c:catAx>
      <c:valAx>
        <c:axId val="8439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438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Petróleo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'10'!$N$52:$Q$52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'10'!$N$53:$Q$53</c:f>
              <c:numCache>
                <c:formatCode>0.0</c:formatCode>
                <c:ptCount val="4"/>
                <c:pt idx="0">
                  <c:v>78.873999999999995</c:v>
                </c:pt>
                <c:pt idx="1">
                  <c:v>86.623000000000005</c:v>
                </c:pt>
                <c:pt idx="2">
                  <c:v>86.331000000000003</c:v>
                </c:pt>
                <c:pt idx="3">
                  <c:v>100.718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9-4803-959A-2CEA7FA4259A}"/>
            </c:ext>
          </c:extLst>
        </c:ser>
        <c:ser>
          <c:idx val="1"/>
          <c:order val="1"/>
          <c:tx>
            <c:v>Líquidos de Gas Natural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'10'!$N$52:$Q$52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'10'!$N$54:$Q$54</c:f>
              <c:numCache>
                <c:formatCode>0.0</c:formatCode>
                <c:ptCount val="4"/>
                <c:pt idx="0">
                  <c:v>86.171000000000006</c:v>
                </c:pt>
                <c:pt idx="1">
                  <c:v>83.051000000000002</c:v>
                </c:pt>
                <c:pt idx="2">
                  <c:v>82.653000000000006</c:v>
                </c:pt>
                <c:pt idx="3">
                  <c:v>96.495000000000005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9-4803-959A-2CEA7FA4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6864"/>
        <c:axId val="84438400"/>
      </c:barChart>
      <c:catAx>
        <c:axId val="844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438400"/>
        <c:crosses val="autoZero"/>
        <c:auto val="1"/>
        <c:lblAlgn val="ctr"/>
        <c:lblOffset val="100"/>
        <c:noMultiLvlLbl val="0"/>
      </c:catAx>
      <c:valAx>
        <c:axId val="844384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844368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550332</xdr:colOff>
      <xdr:row>31</xdr:row>
      <xdr:rowOff>118533</xdr:rowOff>
    </xdr:from>
    <xdr:to>
      <xdr:col>10</xdr:col>
      <xdr:colOff>558799</xdr:colOff>
      <xdr:row>46</xdr:row>
      <xdr:rowOff>67733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6805F7-BB6C-4830-860D-06EFD6612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0.00624</cdr:x>
      <cdr:y>0.0618</cdr:y>
    </cdr:from>
    <cdr:to>
      <cdr:x>0.13522</cdr:x>
      <cdr:y>0.13452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48A3056-6711-4867-B124-9D93B1DC565B}"/>
            </a:ext>
          </a:extLst>
        </cdr:cNvPr>
        <cdr:cNvSpPr txBox="1"/>
      </cdr:nvSpPr>
      <cdr:spPr>
        <a:xfrm xmlns:a="http://schemas.openxmlformats.org/drawingml/2006/main">
          <a:off x="28575" y="161925"/>
          <a:ext cx="5905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 b="1"/>
            <a:t>MBPD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0.00624</cdr:x>
      <cdr:y>0.0618</cdr:y>
    </cdr:from>
    <cdr:to>
      <cdr:x>0.13522</cdr:x>
      <cdr:y>0.13452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48A3056-6711-4867-B124-9D93B1DC565B}"/>
            </a:ext>
          </a:extLst>
        </cdr:cNvPr>
        <cdr:cNvSpPr txBox="1"/>
      </cdr:nvSpPr>
      <cdr:spPr>
        <a:xfrm xmlns:a="http://schemas.openxmlformats.org/drawingml/2006/main">
          <a:off x="28575" y="161925"/>
          <a:ext cx="5905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 b="1"/>
            <a:t>MBPD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0.03241</cdr:y>
    </cdr:from>
    <cdr:to>
      <cdr:x>0.14028</cdr:x>
      <cdr:y>0.10186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C7BED85-B65E-4B0F-9351-4467BFA9B8B6}"/>
            </a:ext>
          </a:extLst>
        </cdr:cNvPr>
        <cdr:cNvSpPr txBox="1"/>
      </cdr:nvSpPr>
      <cdr:spPr>
        <a:xfrm xmlns:a="http://schemas.openxmlformats.org/drawingml/2006/main">
          <a:off x="50800" y="88900"/>
          <a:ext cx="590564" cy="190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000" b="1"/>
            <a:t>MBPD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33</xdr:row>
      <xdr:rowOff>116417</xdr:rowOff>
    </xdr:from>
    <xdr:to>
      <xdr:col>15</xdr:col>
      <xdr:colOff>703264</xdr:colOff>
      <xdr:row>63</xdr:row>
      <xdr:rowOff>169599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A578FB0-14E1-42A3-9A97-99A03D4AD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23</xdr:row>
      <xdr:rowOff>38100</xdr:rowOff>
    </xdr:from>
    <xdr:to>
      <xdr:col>8</xdr:col>
      <xdr:colOff>409366</xdr:colOff>
      <xdr:row>42</xdr:row>
      <xdr:rowOff>119952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C360A47F-09F5-437A-A3EC-58DA421D4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8</xdr:col>
      <xdr:colOff>85619</xdr:colOff>
      <xdr:row>72</xdr:row>
      <xdr:rowOff>43648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CB98177A-A43D-4968-A0D9-D374AF7C9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0.01859</cdr:x>
      <cdr:y>0.02157</cdr:y>
    </cdr:from>
    <cdr:to>
      <cdr:x>0.15339</cdr:x>
      <cdr:y>0.09537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66A589DC-E880-4D00-9CA2-12339DA9C2CD}"/>
            </a:ext>
          </a:extLst>
        </cdr:cNvPr>
        <cdr:cNvSpPr txBox="1"/>
      </cdr:nvSpPr>
      <cdr:spPr>
        <a:xfrm xmlns:a="http://schemas.openxmlformats.org/drawingml/2006/main">
          <a:off x="88899" y="60324"/>
          <a:ext cx="644525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000" b="1"/>
            <a:t>MMPCD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701456</xdr:colOff>
      <xdr:row>9</xdr:row>
      <xdr:rowOff>57150</xdr:rowOff>
    </xdr:from>
    <xdr:to>
      <xdr:col>7</xdr:col>
      <xdr:colOff>171450</xdr:colOff>
      <xdr:row>28</xdr:row>
      <xdr:rowOff>85725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AEC09B55-AE47-4325-8173-5065E5E0D942}"/>
            </a:ext>
          </a:extLst>
        </xdr:cNvPr>
        <xdr:cNvGrpSpPr/>
      </xdr:nvGrpSpPr>
      <xdr:grpSpPr>
        <a:xfrm>
          <a:off x="701456" y="1362075"/>
          <a:ext cx="4803994" cy="2743200"/>
          <a:chOff x="804548" y="1538287"/>
          <a:chExt cx="5273847" cy="2743200"/>
        </a:xfrm>
      </xdr:grpSpPr>
      <xdr:graphicFrame macro="">
        <xdr:nvGraphicFramePr>
          <xdr:cNvPr id="3" name="1 Gráfico">
            <a:extLst>
              <a:ext uri="{FF2B5EF4-FFF2-40B4-BE49-F238E27FC236}">
                <a16:creationId xmlns:a16="http://schemas.microsoft.com/office/drawing/2014/main" id="{B75971E5-DB60-46C1-B9E3-122D3917D3B4}"/>
              </a:ext>
            </a:extLst>
          </xdr:cNvPr>
          <xdr:cNvGraphicFramePr/>
        </xdr:nvGraphicFramePr>
        <xdr:xfrm>
          <a:off x="839645" y="1538287"/>
          <a:ext cx="523875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 CuadroTexto">
            <a:extLst>
              <a:ext uri="{FF2B5EF4-FFF2-40B4-BE49-F238E27FC236}">
                <a16:creationId xmlns:a16="http://schemas.microsoft.com/office/drawing/2014/main" id="{90189B5B-DFD8-4502-8BE5-7722A56C6BB7}"/>
              </a:ext>
            </a:extLst>
          </xdr:cNvPr>
          <xdr:cNvSpPr txBox="1"/>
        </xdr:nvSpPr>
        <xdr:spPr>
          <a:xfrm>
            <a:off x="804548" y="1809750"/>
            <a:ext cx="680251" cy="2100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PE" sz="800">
                <a:latin typeface="Arial Narrow" panose="020B0606020202030204" pitchFamily="34" charset="0"/>
              </a:rPr>
              <a:t>US$ Millones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28575</xdr:rowOff>
    </xdr:from>
    <xdr:to>
      <xdr:col>7</xdr:col>
      <xdr:colOff>85725</xdr:colOff>
      <xdr:row>30</xdr:row>
      <xdr:rowOff>57150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6848C514-0E09-4037-A772-6CC662E8F2EF}"/>
            </a:ext>
          </a:extLst>
        </xdr:cNvPr>
        <xdr:cNvGrpSpPr/>
      </xdr:nvGrpSpPr>
      <xdr:grpSpPr>
        <a:xfrm>
          <a:off x="647700" y="1657350"/>
          <a:ext cx="4772025" cy="2743200"/>
          <a:chOff x="609600" y="1690687"/>
          <a:chExt cx="5238750" cy="2743200"/>
        </a:xfrm>
      </xdr:grpSpPr>
      <xdr:graphicFrame macro="">
        <xdr:nvGraphicFramePr>
          <xdr:cNvPr id="3" name="1 Gráfico">
            <a:extLst>
              <a:ext uri="{FF2B5EF4-FFF2-40B4-BE49-F238E27FC236}">
                <a16:creationId xmlns:a16="http://schemas.microsoft.com/office/drawing/2014/main" id="{56AAA91F-A8E8-4125-A3EB-5EFC339ED090}"/>
              </a:ext>
            </a:extLst>
          </xdr:cNvPr>
          <xdr:cNvGraphicFramePr/>
        </xdr:nvGraphicFramePr>
        <xdr:xfrm>
          <a:off x="609600" y="1690687"/>
          <a:ext cx="523875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 CuadroTexto">
            <a:extLst>
              <a:ext uri="{FF2B5EF4-FFF2-40B4-BE49-F238E27FC236}">
                <a16:creationId xmlns:a16="http://schemas.microsoft.com/office/drawing/2014/main" id="{CF04A676-17CD-4296-AF42-0A93D781367C}"/>
              </a:ext>
            </a:extLst>
          </xdr:cNvPr>
          <xdr:cNvSpPr txBox="1"/>
        </xdr:nvSpPr>
        <xdr:spPr>
          <a:xfrm>
            <a:off x="647700" y="2019300"/>
            <a:ext cx="680251" cy="2100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PE" sz="800">
                <a:latin typeface="Arial Narrow" panose="020B0606020202030204" pitchFamily="34" charset="0"/>
              </a:rPr>
              <a:t>US$ Millones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650082</xdr:colOff>
      <xdr:row>33</xdr:row>
      <xdr:rowOff>86406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647F6FA0-BEFA-4F49-B1C1-A4323810A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0.02831</cdr:x>
      <cdr:y>0.08275</cdr:y>
    </cdr:from>
    <cdr:to>
      <cdr:x>0.15682</cdr:x>
      <cdr:y>0.15774</cdr:y>
    </cdr:to>
    <cdr:sp macro="" textlink="">
      <cdr:nvSpPr>
        <cdr:cNvPr id="2" name="2 CuadroTexto">
          <a:extLst xmlns:a="http://schemas.openxmlformats.org/drawingml/2006/main">
            <a:ext uri="{FF2B5EF4-FFF2-40B4-BE49-F238E27FC236}">
              <a16:creationId xmlns:a16="http://schemas.microsoft.com/office/drawing/2014/main" id="{CF04A676-17CD-4296-AF42-0A93D781367C}"/>
            </a:ext>
          </a:extLst>
        </cdr:cNvPr>
        <cdr:cNvSpPr txBox="1"/>
      </cdr:nvSpPr>
      <cdr:spPr>
        <a:xfrm xmlns:a="http://schemas.openxmlformats.org/drawingml/2006/main">
          <a:off x="136525" y="231775"/>
          <a:ext cx="619647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US$ Millones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0.01482</cdr:x>
      <cdr:y>0.05247</cdr:y>
    </cdr:from>
    <cdr:to>
      <cdr:x>0.11111</cdr:x>
      <cdr:y>0.1142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A3C4507-9690-4FAF-890B-EDDFDA572D53}"/>
            </a:ext>
          </a:extLst>
        </cdr:cNvPr>
        <cdr:cNvSpPr txBox="1"/>
      </cdr:nvSpPr>
      <cdr:spPr>
        <a:xfrm xmlns:a="http://schemas.openxmlformats.org/drawingml/2006/main">
          <a:off x="67735" y="143933"/>
          <a:ext cx="440266" cy="169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900" b="1"/>
            <a:t>Km</a:t>
          </a:r>
        </a:p>
      </cdr:txBody>
    </cdr:sp>
  </cdr:relSizeAnchor>
  <cdr:relSizeAnchor xmlns:cdr="http://schemas.openxmlformats.org/drawingml/2006/chartDrawing">
    <cdr:from>
      <cdr:x>0.27037</cdr:x>
      <cdr:y>0.16358</cdr:y>
    </cdr:from>
    <cdr:to>
      <cdr:x>0.27222</cdr:x>
      <cdr:y>0.83951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E47B27BE-8F13-42D1-8240-355F37265F7C}"/>
            </a:ext>
          </a:extLst>
        </cdr:cNvPr>
        <cdr:cNvCxnSpPr/>
      </cdr:nvCxnSpPr>
      <cdr:spPr>
        <a:xfrm xmlns:a="http://schemas.openxmlformats.org/drawingml/2006/main" flipH="1" flipV="1">
          <a:off x="1236135" y="448733"/>
          <a:ext cx="8466" cy="1854200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0.79259</cdr:x>
      <cdr:y>0.16667</cdr:y>
    </cdr:from>
    <cdr:to>
      <cdr:x>0.79444</cdr:x>
      <cdr:y>0.84259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FB380786-5432-4BBB-BD37-94CEED32F7B3}"/>
            </a:ext>
          </a:extLst>
        </cdr:cNvPr>
        <cdr:cNvCxnSpPr/>
      </cdr:nvCxnSpPr>
      <cdr:spPr>
        <a:xfrm xmlns:a="http://schemas.openxmlformats.org/drawingml/2006/main" flipH="1" flipV="1">
          <a:off x="3623733" y="457200"/>
          <a:ext cx="8466" cy="1854200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0</xdr:rowOff>
    </xdr:from>
    <xdr:to>
      <xdr:col>11</xdr:col>
      <xdr:colOff>502920</xdr:colOff>
      <xdr:row>33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365E6E-1063-4FE7-B92E-1FC4542B6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0.01482</cdr:x>
      <cdr:y>0.05247</cdr:y>
    </cdr:from>
    <cdr:to>
      <cdr:x>0.11111</cdr:x>
      <cdr:y>0.1142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A3C4507-9690-4FAF-890B-EDDFDA572D53}"/>
            </a:ext>
          </a:extLst>
        </cdr:cNvPr>
        <cdr:cNvSpPr txBox="1"/>
      </cdr:nvSpPr>
      <cdr:spPr>
        <a:xfrm xmlns:a="http://schemas.openxmlformats.org/drawingml/2006/main">
          <a:off x="67735" y="143933"/>
          <a:ext cx="440266" cy="169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900" b="1"/>
            <a:t>Km</a:t>
          </a:r>
        </a:p>
      </cdr:txBody>
    </cdr:sp>
  </cdr:relSizeAnchor>
  <cdr:relSizeAnchor xmlns:cdr="http://schemas.openxmlformats.org/drawingml/2006/chartDrawing">
    <cdr:from>
      <cdr:x>0.27037</cdr:x>
      <cdr:y>0.16358</cdr:y>
    </cdr:from>
    <cdr:to>
      <cdr:x>0.27222</cdr:x>
      <cdr:y>0.83951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E47B27BE-8F13-42D1-8240-355F37265F7C}"/>
            </a:ext>
          </a:extLst>
        </cdr:cNvPr>
        <cdr:cNvCxnSpPr/>
      </cdr:nvCxnSpPr>
      <cdr:spPr>
        <a:xfrm xmlns:a="http://schemas.openxmlformats.org/drawingml/2006/main" flipH="1" flipV="1">
          <a:off x="1236135" y="448733"/>
          <a:ext cx="8466" cy="1854200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0.79259</cdr:x>
      <cdr:y>0.16667</cdr:y>
    </cdr:from>
    <cdr:to>
      <cdr:x>0.79444</cdr:x>
      <cdr:y>0.84259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FB380786-5432-4BBB-BD37-94CEED32F7B3}"/>
            </a:ext>
          </a:extLst>
        </cdr:cNvPr>
        <cdr:cNvCxnSpPr/>
      </cdr:nvCxnSpPr>
      <cdr:spPr>
        <a:xfrm xmlns:a="http://schemas.openxmlformats.org/drawingml/2006/main" flipH="1" flipV="1">
          <a:off x="3623733" y="457200"/>
          <a:ext cx="8466" cy="1854200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29</xdr:row>
      <xdr:rowOff>0</xdr:rowOff>
    </xdr:from>
    <xdr:to>
      <xdr:col>10</xdr:col>
      <xdr:colOff>640080</xdr:colOff>
      <xdr:row>44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2DD519-8ED6-4B7F-B2F9-DD0259DF3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0.01482</cdr:x>
      <cdr:y>0.05247</cdr:y>
    </cdr:from>
    <cdr:to>
      <cdr:x>0.11111</cdr:x>
      <cdr:y>0.1142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A3C4507-9690-4FAF-890B-EDDFDA572D53}"/>
            </a:ext>
          </a:extLst>
        </cdr:cNvPr>
        <cdr:cNvSpPr txBox="1"/>
      </cdr:nvSpPr>
      <cdr:spPr>
        <a:xfrm xmlns:a="http://schemas.openxmlformats.org/drawingml/2006/main">
          <a:off x="67735" y="143933"/>
          <a:ext cx="440266" cy="169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900" b="1"/>
            <a:t>N°</a:t>
          </a:r>
        </a:p>
      </cdr:txBody>
    </cdr:sp>
  </cdr:relSizeAnchor>
  <cdr:relSizeAnchor xmlns:cdr="http://schemas.openxmlformats.org/drawingml/2006/chartDrawing">
    <cdr:from>
      <cdr:x>0.27037</cdr:x>
      <cdr:y>0.16358</cdr:y>
    </cdr:from>
    <cdr:to>
      <cdr:x>0.27222</cdr:x>
      <cdr:y>0.83951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E47B27BE-8F13-42D1-8240-355F37265F7C}"/>
            </a:ext>
          </a:extLst>
        </cdr:cNvPr>
        <cdr:cNvCxnSpPr/>
      </cdr:nvCxnSpPr>
      <cdr:spPr>
        <a:xfrm xmlns:a="http://schemas.openxmlformats.org/drawingml/2006/main" flipH="1" flipV="1">
          <a:off x="1236135" y="448733"/>
          <a:ext cx="8466" cy="1854200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0.79259</cdr:x>
      <cdr:y>0.16667</cdr:y>
    </cdr:from>
    <cdr:to>
      <cdr:x>0.79444</cdr:x>
      <cdr:y>0.84259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FB380786-5432-4BBB-BD37-94CEED32F7B3}"/>
            </a:ext>
          </a:extLst>
        </cdr:cNvPr>
        <cdr:cNvCxnSpPr/>
      </cdr:nvCxnSpPr>
      <cdr:spPr>
        <a:xfrm xmlns:a="http://schemas.openxmlformats.org/drawingml/2006/main" flipH="1" flipV="1">
          <a:off x="3623733" y="457200"/>
          <a:ext cx="8466" cy="1854200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15</xdr:col>
      <xdr:colOff>394608</xdr:colOff>
      <xdr:row>34</xdr:row>
      <xdr:rowOff>61234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93C462FB-3554-4932-81F9-12002AB44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0</xdr:rowOff>
    </xdr:from>
    <xdr:to>
      <xdr:col>24</xdr:col>
      <xdr:colOff>159938</xdr:colOff>
      <xdr:row>20</xdr:row>
      <xdr:rowOff>3976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26</xdr:row>
      <xdr:rowOff>0</xdr:rowOff>
    </xdr:from>
    <xdr:to>
      <xdr:col>27</xdr:col>
      <xdr:colOff>257587</xdr:colOff>
      <xdr:row>43</xdr:row>
      <xdr:rowOff>4088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A8549E73-2E83-42DA-A4B5-A07D5D8CE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8</xdr:row>
      <xdr:rowOff>104775</xdr:rowOff>
    </xdr:from>
    <xdr:to>
      <xdr:col>16</xdr:col>
      <xdr:colOff>82924</xdr:colOff>
      <xdr:row>23</xdr:row>
      <xdr:rowOff>10085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DFBAE7E1-D193-4ACB-94EC-83F92D0DC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29</xdr:row>
      <xdr:rowOff>133350</xdr:rowOff>
    </xdr:from>
    <xdr:to>
      <xdr:col>16</xdr:col>
      <xdr:colOff>101974</xdr:colOff>
      <xdr:row>44</xdr:row>
      <xdr:rowOff>38660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DDA6187D-A725-45BF-8E0A-29692BF1D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55</xdr:row>
      <xdr:rowOff>76200</xdr:rowOff>
    </xdr:from>
    <xdr:to>
      <xdr:col>17</xdr:col>
      <xdr:colOff>161925</xdr:colOff>
      <xdr:row>70</xdr:row>
      <xdr:rowOff>104775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11E61F29-C04E-4712-9FAF-2BC37117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IDY%20DEEH\EXPEDIENTES\ESTADISTICAS\I-2632-2019%20-DPTC%20(ANUARIO%20ESTAD&#205;STICO)\Anuario%20al%202018\CAPITULO%20I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EIDY%20DEEH\CUARENTENA\REGALIAS\NUEVO%20REGLAMENTO%20DE%20REGALIAS\ANALISIS%20REGALIAS%20Y%20CANON\ANALISIS%20(Regal&#237;as,%20canon%20y%20sobrecanon%20-%20tas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</sheetNames>
    <sheetDataSet>
      <sheetData sheetId="0" refreshError="1"/>
      <sheetData sheetId="1">
        <row r="8">
          <cell r="W8" t="str">
            <v>Costa</v>
          </cell>
        </row>
        <row r="9">
          <cell r="W9" t="str">
            <v>Zócalo</v>
          </cell>
        </row>
        <row r="10">
          <cell r="W10" t="str">
            <v>Selva</v>
          </cell>
        </row>
      </sheetData>
      <sheetData sheetId="2">
        <row r="71">
          <cell r="R71" t="str">
            <v>ZÓCALO</v>
          </cell>
        </row>
        <row r="72">
          <cell r="R72" t="str">
            <v>SELVA</v>
          </cell>
        </row>
        <row r="73">
          <cell r="R73" t="str">
            <v>COSTA</v>
          </cell>
        </row>
      </sheetData>
      <sheetData sheetId="3">
        <row r="6">
          <cell r="AE6">
            <v>2012</v>
          </cell>
        </row>
      </sheetData>
      <sheetData sheetId="4">
        <row r="20">
          <cell r="W20">
            <v>43101</v>
          </cell>
          <cell r="X20">
            <v>43132</v>
          </cell>
          <cell r="Y20">
            <v>43160</v>
          </cell>
          <cell r="Z20">
            <v>43191</v>
          </cell>
          <cell r="AA20">
            <v>43221</v>
          </cell>
          <cell r="AB20">
            <v>43252</v>
          </cell>
          <cell r="AC20">
            <v>43282</v>
          </cell>
          <cell r="AD20">
            <v>43313</v>
          </cell>
          <cell r="AE20">
            <v>43344</v>
          </cell>
          <cell r="AF20">
            <v>43374</v>
          </cell>
          <cell r="AG20">
            <v>43405</v>
          </cell>
          <cell r="AH20">
            <v>43435</v>
          </cell>
        </row>
        <row r="31">
          <cell r="V31" t="str">
            <v>Ene</v>
          </cell>
        </row>
        <row r="32">
          <cell r="V32" t="str">
            <v>Feb</v>
          </cell>
        </row>
        <row r="33">
          <cell r="V33" t="str">
            <v>Mar</v>
          </cell>
        </row>
        <row r="34">
          <cell r="V34" t="str">
            <v>Abr</v>
          </cell>
        </row>
        <row r="35">
          <cell r="V35" t="str">
            <v>May</v>
          </cell>
        </row>
        <row r="36">
          <cell r="V36" t="str">
            <v>Jun</v>
          </cell>
        </row>
        <row r="37">
          <cell r="V37" t="str">
            <v>Jul</v>
          </cell>
        </row>
        <row r="38">
          <cell r="V38" t="str">
            <v>Ago</v>
          </cell>
        </row>
        <row r="39">
          <cell r="V39" t="str">
            <v>Sep</v>
          </cell>
        </row>
        <row r="40">
          <cell r="V40" t="str">
            <v>Oct</v>
          </cell>
        </row>
        <row r="41">
          <cell r="V41" t="str">
            <v>Nov</v>
          </cell>
        </row>
        <row r="42">
          <cell r="V42" t="str">
            <v>Dic</v>
          </cell>
        </row>
      </sheetData>
      <sheetData sheetId="5">
        <row r="4">
          <cell r="Z4">
            <v>2012</v>
          </cell>
        </row>
      </sheetData>
      <sheetData sheetId="6" refreshError="1"/>
      <sheetData sheetId="7">
        <row r="3">
          <cell r="Q3">
            <v>2019</v>
          </cell>
        </row>
      </sheetData>
      <sheetData sheetId="8">
        <row r="72">
          <cell r="C72">
            <v>2012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ISTORICO (NM)"/>
      <sheetName val="RESUMEN 2019 (NM)"/>
      <sheetName val="PROYECCION 2021 (MA - NM)"/>
      <sheetName val="PROYECCION (MA - NM)"/>
      <sheetName val="REGALIA Y REGALIAS EQUIVALEN_NM"/>
      <sheetName val="REGALIAS HISTORICAS"/>
      <sheetName val=" CANON_ANUAL_USD"/>
      <sheetName val="TASAS - RESUMEN"/>
      <sheetName val="TASAS HISTORICO"/>
      <sheetName val="REGALIAS_MENSUAL_2019_USD"/>
      <sheetName val="CANON_MENSUAL_2019_USD"/>
      <sheetName val="PRODUCION_BPD 2019"/>
      <sheetName val="PRECIOS 2019"/>
      <sheetName val="FISCALIZACION 2019"/>
      <sheetName val="PRODUCION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3.0236399999999997E-3</v>
          </cell>
          <cell r="AF9">
            <v>9.4163500000000004E-3</v>
          </cell>
          <cell r="AG9">
            <v>1.2849969999999999E-2</v>
          </cell>
        </row>
        <row r="10">
          <cell r="V10">
            <v>1.27339859</v>
          </cell>
          <cell r="W10">
            <v>1.41492464</v>
          </cell>
          <cell r="X10">
            <v>2.0254895799999999</v>
          </cell>
          <cell r="Y10">
            <v>2.4221272799999998</v>
          </cell>
          <cell r="Z10">
            <v>2.5412416800000002</v>
          </cell>
          <cell r="AA10">
            <v>2.3818063500000002</v>
          </cell>
          <cell r="AB10">
            <v>2.6587611299999998</v>
          </cell>
          <cell r="AC10">
            <v>2.1559411099999997</v>
          </cell>
          <cell r="AD10">
            <v>1.9182075300000001</v>
          </cell>
          <cell r="AE10">
            <v>1.84055949</v>
          </cell>
          <cell r="AF10">
            <v>1.80508801</v>
          </cell>
          <cell r="AG10">
            <v>1.91848511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6.108135E-2</v>
          </cell>
          <cell r="AC16">
            <v>0.20929431000000001</v>
          </cell>
          <cell r="AD16">
            <v>0.13561084000000001</v>
          </cell>
          <cell r="AE16">
            <v>0.24052438000000001</v>
          </cell>
          <cell r="AF16">
            <v>0.16085401000000002</v>
          </cell>
          <cell r="AG16">
            <v>0.26776671000000002</v>
          </cell>
        </row>
        <row r="17">
          <cell r="V17">
            <v>2.70082E-3</v>
          </cell>
          <cell r="W17">
            <v>2.3312299999999998E-2</v>
          </cell>
          <cell r="X17">
            <v>2.2052529999999997E-2</v>
          </cell>
          <cell r="Y17">
            <v>2.6724479999999998E-2</v>
          </cell>
          <cell r="Z17">
            <v>2.5235880000000002E-2</v>
          </cell>
          <cell r="AA17">
            <v>3.4633219999999999E-2</v>
          </cell>
          <cell r="AB17">
            <v>3.4615279999999998E-2</v>
          </cell>
          <cell r="AC17">
            <v>4.5908400000000005E-3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V18">
            <v>6.9729380000000007E-2</v>
          </cell>
          <cell r="W18">
            <v>6.5954399999999996E-2</v>
          </cell>
          <cell r="X18">
            <v>7.295183999999999E-2</v>
          </cell>
          <cell r="Y18">
            <v>7.0665909999999998E-2</v>
          </cell>
          <cell r="Z18">
            <v>7.338016E-2</v>
          </cell>
          <cell r="AA18">
            <v>7.163071E-2</v>
          </cell>
          <cell r="AB18">
            <v>7.4904360000000003E-2</v>
          </cell>
          <cell r="AC18">
            <v>7.3971610000000007E-2</v>
          </cell>
          <cell r="AD18">
            <v>6.9116129999999998E-2</v>
          </cell>
          <cell r="AE18">
            <v>6.2008529999999999E-2</v>
          </cell>
          <cell r="AF18">
            <v>7.0704420000000004E-2</v>
          </cell>
          <cell r="AG18">
            <v>7.3297840000000003E-2</v>
          </cell>
        </row>
        <row r="19">
          <cell r="V19">
            <v>0.13967385000000002</v>
          </cell>
          <cell r="W19">
            <v>0.11352422999999999</v>
          </cell>
          <cell r="X19">
            <v>0.14216829</v>
          </cell>
          <cell r="Y19">
            <v>0.13871389000000001</v>
          </cell>
          <cell r="Z19">
            <v>0.13010461000000001</v>
          </cell>
          <cell r="AA19">
            <v>0.15488070000000001</v>
          </cell>
          <cell r="AB19">
            <v>0.15004122</v>
          </cell>
          <cell r="AC19">
            <v>0.13572854999999998</v>
          </cell>
          <cell r="AD19">
            <v>0.13510178</v>
          </cell>
          <cell r="AE19">
            <v>0.12828919</v>
          </cell>
          <cell r="AF19">
            <v>9.807927000000001E-2</v>
          </cell>
          <cell r="AG19">
            <v>0.11428021000000001</v>
          </cell>
        </row>
        <row r="27">
          <cell r="V27">
            <v>0.50437036999999996</v>
          </cell>
          <cell r="W27">
            <v>2.5313849900000003</v>
          </cell>
          <cell r="X27">
            <v>2.7210479599999999</v>
          </cell>
          <cell r="Y27">
            <v>1.85496824</v>
          </cell>
          <cell r="Z27">
            <v>2.24626094</v>
          </cell>
          <cell r="AA27">
            <v>0.1534971</v>
          </cell>
          <cell r="AB27">
            <v>0.86768948999999995</v>
          </cell>
          <cell r="AC27">
            <v>1.8025644599999999</v>
          </cell>
          <cell r="AD27">
            <v>2.1068160299999996</v>
          </cell>
          <cell r="AE27">
            <v>0.92818292000000002</v>
          </cell>
          <cell r="AF27">
            <v>2.4446442000000004</v>
          </cell>
          <cell r="AG27">
            <v>1.8106237299999999</v>
          </cell>
        </row>
        <row r="28">
          <cell r="V28">
            <v>0</v>
          </cell>
          <cell r="W28">
            <v>1.515708E-2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1.440316E-2</v>
          </cell>
          <cell r="AG28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9"/>
  <sheetViews>
    <sheetView tabSelected="1" zoomScale="90" zoomScaleNormal="90" workbookViewId="0">
      <selection activeCell="J8" sqref="J8"/>
    </sheetView>
  </sheetViews>
  <sheetFormatPr baseColWidth="10" defaultColWidth="9.5703125" defaultRowHeight="14.45" customHeight="1" x14ac:dyDescent="0.2"/>
  <cols>
    <col min="1" max="1" width="14.28515625" style="20" customWidth="1"/>
    <col min="2" max="2" width="9.5703125" style="28"/>
    <col min="3" max="9" width="9.5703125" style="15"/>
    <col min="10" max="10" width="9.5703125" style="99"/>
    <col min="11" max="16384" width="9.5703125" style="11"/>
  </cols>
  <sheetData>
    <row r="1" spans="1:11" s="10" customFormat="1" ht="14.45" customHeight="1" x14ac:dyDescent="0.2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1" s="10" customFormat="1" ht="14.45" customHeight="1" x14ac:dyDescent="0.2">
      <c r="A2" s="355" t="s">
        <v>404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1" s="10" customFormat="1" ht="14.45" customHeight="1" x14ac:dyDescent="0.2">
      <c r="A3" s="16" t="s">
        <v>1</v>
      </c>
      <c r="B3" s="29" t="s">
        <v>2</v>
      </c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94">
        <v>2019</v>
      </c>
    </row>
    <row r="4" spans="1:11" ht="14.45" customHeight="1" x14ac:dyDescent="0.2">
      <c r="A4" s="18" t="s">
        <v>3</v>
      </c>
      <c r="B4" s="30" t="s">
        <v>4</v>
      </c>
      <c r="C4" s="7" t="s">
        <v>159</v>
      </c>
      <c r="D4" s="7" t="s">
        <v>159</v>
      </c>
      <c r="E4" s="7" t="s">
        <v>159</v>
      </c>
      <c r="F4" s="2">
        <v>54</v>
      </c>
      <c r="G4" s="2">
        <v>109</v>
      </c>
      <c r="H4" s="7" t="s">
        <v>159</v>
      </c>
      <c r="I4" s="2">
        <v>0</v>
      </c>
      <c r="J4" s="95" t="s">
        <v>159</v>
      </c>
    </row>
    <row r="5" spans="1:11" ht="14.45" customHeight="1" x14ac:dyDescent="0.2">
      <c r="A5" s="19" t="s">
        <v>5</v>
      </c>
      <c r="B5" s="31" t="s">
        <v>6</v>
      </c>
      <c r="C5" s="3">
        <v>270</v>
      </c>
      <c r="D5" s="7" t="s">
        <v>159</v>
      </c>
      <c r="E5" s="7" t="s">
        <v>159</v>
      </c>
      <c r="F5" s="7" t="s">
        <v>159</v>
      </c>
      <c r="G5" s="7" t="s">
        <v>159</v>
      </c>
      <c r="H5" s="7" t="s">
        <v>159</v>
      </c>
      <c r="I5" s="7" t="s">
        <v>159</v>
      </c>
      <c r="J5" s="95" t="s">
        <v>159</v>
      </c>
    </row>
    <row r="6" spans="1:11" ht="14.45" customHeight="1" x14ac:dyDescent="0.2">
      <c r="A6" s="18" t="s">
        <v>7</v>
      </c>
      <c r="B6" s="30" t="s">
        <v>8</v>
      </c>
      <c r="C6" s="7" t="s">
        <v>159</v>
      </c>
      <c r="D6" s="7" t="s">
        <v>159</v>
      </c>
      <c r="E6" s="7" t="s">
        <v>159</v>
      </c>
      <c r="F6" s="7" t="s">
        <v>159</v>
      </c>
      <c r="G6" s="7" t="s">
        <v>159</v>
      </c>
      <c r="H6" s="7" t="s">
        <v>159</v>
      </c>
      <c r="I6" s="2">
        <v>81</v>
      </c>
      <c r="J6" s="95">
        <v>63.22</v>
      </c>
    </row>
    <row r="7" spans="1:11" ht="14.45" customHeight="1" x14ac:dyDescent="0.2">
      <c r="A7" s="354" t="s">
        <v>9</v>
      </c>
      <c r="B7" s="354"/>
      <c r="C7" s="8">
        <v>270</v>
      </c>
      <c r="D7" s="8">
        <v>0</v>
      </c>
      <c r="E7" s="8">
        <v>0</v>
      </c>
      <c r="F7" s="8">
        <v>54</v>
      </c>
      <c r="G7" s="8">
        <v>109</v>
      </c>
      <c r="H7" s="8">
        <v>0</v>
      </c>
      <c r="I7" s="8">
        <v>81</v>
      </c>
      <c r="J7" s="96">
        <v>63.22</v>
      </c>
    </row>
    <row r="8" spans="1:11" ht="14.45" customHeight="1" x14ac:dyDescent="0.2">
      <c r="A8" s="18" t="s">
        <v>10</v>
      </c>
      <c r="B8" s="30" t="s">
        <v>11</v>
      </c>
      <c r="C8" s="7" t="s">
        <v>159</v>
      </c>
      <c r="D8" s="7" t="s">
        <v>159</v>
      </c>
      <c r="E8" s="2">
        <v>262</v>
      </c>
      <c r="F8" s="7" t="s">
        <v>159</v>
      </c>
      <c r="G8" s="7" t="s">
        <v>159</v>
      </c>
      <c r="H8" s="7" t="s">
        <v>159</v>
      </c>
      <c r="I8" s="7" t="s">
        <v>159</v>
      </c>
      <c r="J8" s="95" t="s">
        <v>159</v>
      </c>
    </row>
    <row r="9" spans="1:11" ht="14.45" customHeight="1" x14ac:dyDescent="0.2">
      <c r="A9" s="19" t="s">
        <v>12</v>
      </c>
      <c r="B9" s="31" t="s">
        <v>13</v>
      </c>
      <c r="C9" s="3" t="s">
        <v>159</v>
      </c>
      <c r="D9" s="3" t="s">
        <v>159</v>
      </c>
      <c r="E9" s="3" t="s">
        <v>159</v>
      </c>
      <c r="F9" s="3" t="s">
        <v>159</v>
      </c>
      <c r="G9" s="3" t="s">
        <v>159</v>
      </c>
      <c r="H9" s="3" t="s">
        <v>159</v>
      </c>
      <c r="I9" s="3" t="s">
        <v>159</v>
      </c>
      <c r="J9" s="97" t="s">
        <v>159</v>
      </c>
    </row>
    <row r="10" spans="1:11" ht="14.45" customHeight="1" x14ac:dyDescent="0.2">
      <c r="A10" s="18" t="s">
        <v>12</v>
      </c>
      <c r="B10" s="30" t="s">
        <v>14</v>
      </c>
      <c r="C10" s="2" t="s">
        <v>159</v>
      </c>
      <c r="D10" s="2" t="s">
        <v>159</v>
      </c>
      <c r="E10" s="2" t="s">
        <v>159</v>
      </c>
      <c r="F10" s="2" t="s">
        <v>159</v>
      </c>
      <c r="G10" s="2" t="s">
        <v>159</v>
      </c>
      <c r="H10" s="2" t="s">
        <v>159</v>
      </c>
      <c r="I10" s="2" t="s">
        <v>159</v>
      </c>
      <c r="J10" s="95" t="s">
        <v>159</v>
      </c>
    </row>
    <row r="11" spans="1:11" ht="14.45" customHeight="1" x14ac:dyDescent="0.2">
      <c r="A11" s="19" t="s">
        <v>12</v>
      </c>
      <c r="B11" s="31" t="s">
        <v>15</v>
      </c>
      <c r="C11" s="3" t="s">
        <v>159</v>
      </c>
      <c r="D11" s="3" t="s">
        <v>159</v>
      </c>
      <c r="E11" s="3" t="s">
        <v>159</v>
      </c>
      <c r="F11" s="3" t="s">
        <v>159</v>
      </c>
      <c r="G11" s="3" t="s">
        <v>159</v>
      </c>
      <c r="H11" s="3" t="s">
        <v>159</v>
      </c>
      <c r="I11" s="3" t="s">
        <v>159</v>
      </c>
      <c r="J11" s="97" t="s">
        <v>159</v>
      </c>
    </row>
    <row r="12" spans="1:11" ht="14.45" customHeight="1" x14ac:dyDescent="0.2">
      <c r="A12" s="18" t="s">
        <v>16</v>
      </c>
      <c r="B12" s="30" t="s">
        <v>17</v>
      </c>
      <c r="C12" s="2" t="s">
        <v>159</v>
      </c>
      <c r="D12" s="2" t="s">
        <v>159</v>
      </c>
      <c r="E12" s="2" t="s">
        <v>18</v>
      </c>
      <c r="F12" s="2" t="s">
        <v>19</v>
      </c>
      <c r="G12" s="2" t="s">
        <v>159</v>
      </c>
      <c r="H12" s="2" t="s">
        <v>159</v>
      </c>
      <c r="I12" s="2" t="s">
        <v>159</v>
      </c>
      <c r="J12" s="95" t="s">
        <v>159</v>
      </c>
    </row>
    <row r="13" spans="1:11" ht="14.45" customHeight="1" x14ac:dyDescent="0.2">
      <c r="A13" s="354" t="s">
        <v>20</v>
      </c>
      <c r="B13" s="354"/>
      <c r="C13" s="8">
        <v>0</v>
      </c>
      <c r="D13" s="8">
        <v>0</v>
      </c>
      <c r="E13" s="8" t="s">
        <v>21</v>
      </c>
      <c r="F13" s="8" t="s">
        <v>19</v>
      </c>
      <c r="G13" s="8">
        <v>0</v>
      </c>
      <c r="H13" s="8">
        <v>0</v>
      </c>
      <c r="I13" s="8">
        <v>0</v>
      </c>
      <c r="J13" s="96">
        <v>0</v>
      </c>
    </row>
    <row r="14" spans="1:11" ht="14.45" customHeight="1" x14ac:dyDescent="0.2">
      <c r="A14" s="18" t="s">
        <v>22</v>
      </c>
      <c r="B14" s="30">
        <v>107</v>
      </c>
      <c r="C14" s="2" t="s">
        <v>159</v>
      </c>
      <c r="D14" s="2" t="s">
        <v>159</v>
      </c>
      <c r="E14" s="2">
        <v>236</v>
      </c>
      <c r="F14" s="2">
        <v>74</v>
      </c>
      <c r="G14" s="2" t="s">
        <v>159</v>
      </c>
      <c r="H14" s="2" t="s">
        <v>159</v>
      </c>
      <c r="I14" s="2" t="s">
        <v>159</v>
      </c>
      <c r="J14" s="95" t="s">
        <v>159</v>
      </c>
    </row>
    <row r="15" spans="1:11" ht="14.45" customHeight="1" x14ac:dyDescent="0.2">
      <c r="A15" s="19" t="s">
        <v>23</v>
      </c>
      <c r="B15" s="31">
        <v>121</v>
      </c>
      <c r="C15" s="3">
        <v>250</v>
      </c>
      <c r="D15" s="3" t="s">
        <v>159</v>
      </c>
      <c r="E15" s="3" t="s">
        <v>159</v>
      </c>
      <c r="F15" s="3" t="s">
        <v>159</v>
      </c>
      <c r="G15" s="3" t="s">
        <v>159</v>
      </c>
      <c r="H15" s="3" t="s">
        <v>159</v>
      </c>
      <c r="I15" s="3" t="s">
        <v>159</v>
      </c>
      <c r="J15" s="97" t="s">
        <v>159</v>
      </c>
    </row>
    <row r="16" spans="1:11" ht="14.45" customHeight="1" x14ac:dyDescent="0.2">
      <c r="A16" s="18" t="s">
        <v>403</v>
      </c>
      <c r="B16" s="30">
        <v>123</v>
      </c>
      <c r="C16" s="2">
        <v>310</v>
      </c>
      <c r="D16" s="2" t="s">
        <v>159</v>
      </c>
      <c r="E16" s="2" t="s">
        <v>159</v>
      </c>
      <c r="F16" s="2" t="s">
        <v>159</v>
      </c>
      <c r="G16" s="2" t="s">
        <v>159</v>
      </c>
      <c r="H16" s="2" t="s">
        <v>159</v>
      </c>
      <c r="I16" s="2" t="s">
        <v>159</v>
      </c>
      <c r="J16" s="95" t="s">
        <v>159</v>
      </c>
      <c r="K16" s="93"/>
    </row>
    <row r="17" spans="1:11" ht="14.45" customHeight="1" x14ac:dyDescent="0.2">
      <c r="A17" s="19" t="s">
        <v>403</v>
      </c>
      <c r="B17" s="31">
        <v>129</v>
      </c>
      <c r="C17" s="3">
        <v>252</v>
      </c>
      <c r="D17" s="3" t="s">
        <v>159</v>
      </c>
      <c r="E17" s="3" t="s">
        <v>159</v>
      </c>
      <c r="F17" s="3" t="s">
        <v>159</v>
      </c>
      <c r="G17" s="3" t="s">
        <v>159</v>
      </c>
      <c r="H17" s="3" t="s">
        <v>159</v>
      </c>
      <c r="I17" s="3" t="s">
        <v>159</v>
      </c>
      <c r="J17" s="97" t="s">
        <v>159</v>
      </c>
      <c r="K17" s="93"/>
    </row>
    <row r="18" spans="1:11" ht="14.45" customHeight="1" x14ac:dyDescent="0.2">
      <c r="A18" s="18" t="s">
        <v>22</v>
      </c>
      <c r="B18" s="30">
        <v>133</v>
      </c>
      <c r="C18" s="2" t="s">
        <v>159</v>
      </c>
      <c r="D18" s="2" t="s">
        <v>159</v>
      </c>
      <c r="E18" s="2" t="s">
        <v>159</v>
      </c>
      <c r="F18" s="2" t="s">
        <v>159</v>
      </c>
      <c r="G18" s="2" t="s">
        <v>159</v>
      </c>
      <c r="H18" s="2" t="s">
        <v>159</v>
      </c>
      <c r="I18" s="2" t="s">
        <v>159</v>
      </c>
      <c r="J18" s="95" t="s">
        <v>159</v>
      </c>
    </row>
    <row r="19" spans="1:11" ht="14.45" customHeight="1" x14ac:dyDescent="0.2">
      <c r="A19" s="19" t="s">
        <v>24</v>
      </c>
      <c r="B19" s="31">
        <v>95</v>
      </c>
      <c r="C19" s="3" t="s">
        <v>159</v>
      </c>
      <c r="D19" s="3">
        <v>380</v>
      </c>
      <c r="E19" s="3" t="s">
        <v>159</v>
      </c>
      <c r="F19" s="3" t="s">
        <v>159</v>
      </c>
      <c r="G19" s="3" t="s">
        <v>159</v>
      </c>
      <c r="H19" s="3" t="s">
        <v>159</v>
      </c>
      <c r="I19" s="3" t="s">
        <v>159</v>
      </c>
      <c r="J19" s="97" t="s">
        <v>159</v>
      </c>
    </row>
    <row r="20" spans="1:11" ht="14.45" customHeight="1" x14ac:dyDescent="0.2">
      <c r="A20" s="18" t="s">
        <v>25</v>
      </c>
      <c r="B20" s="30">
        <v>58</v>
      </c>
      <c r="C20" s="2" t="s">
        <v>159</v>
      </c>
      <c r="D20" s="2" t="s">
        <v>159</v>
      </c>
      <c r="E20" s="2" t="s">
        <v>159</v>
      </c>
      <c r="F20" s="2">
        <v>374</v>
      </c>
      <c r="G20" s="2" t="s">
        <v>159</v>
      </c>
      <c r="H20" s="2" t="s">
        <v>159</v>
      </c>
      <c r="I20" s="2">
        <v>232</v>
      </c>
      <c r="J20" s="95" t="s">
        <v>159</v>
      </c>
    </row>
    <row r="21" spans="1:11" ht="14.45" customHeight="1" x14ac:dyDescent="0.2">
      <c r="A21" s="19" t="s">
        <v>26</v>
      </c>
      <c r="B21" s="31">
        <v>114</v>
      </c>
      <c r="C21" s="3">
        <v>234</v>
      </c>
      <c r="D21" s="3" t="s">
        <v>159</v>
      </c>
      <c r="E21" s="3" t="s">
        <v>159</v>
      </c>
      <c r="F21" s="3" t="s">
        <v>159</v>
      </c>
      <c r="G21" s="3" t="s">
        <v>159</v>
      </c>
      <c r="H21" s="3" t="s">
        <v>159</v>
      </c>
      <c r="I21" s="3" t="s">
        <v>159</v>
      </c>
      <c r="J21" s="97" t="s">
        <v>159</v>
      </c>
    </row>
    <row r="22" spans="1:11" ht="14.45" customHeight="1" x14ac:dyDescent="0.2">
      <c r="A22" s="18" t="s">
        <v>27</v>
      </c>
      <c r="B22" s="30">
        <v>135</v>
      </c>
      <c r="C22" s="2">
        <v>17</v>
      </c>
      <c r="D22" s="2">
        <v>771.2</v>
      </c>
      <c r="E22" s="2" t="s">
        <v>159</v>
      </c>
      <c r="F22" s="2" t="s">
        <v>159</v>
      </c>
      <c r="G22" s="2" t="s">
        <v>159</v>
      </c>
      <c r="H22" s="2" t="s">
        <v>159</v>
      </c>
      <c r="I22" s="2" t="s">
        <v>159</v>
      </c>
      <c r="J22" s="95" t="s">
        <v>159</v>
      </c>
    </row>
    <row r="23" spans="1:11" ht="14.45" customHeight="1" x14ac:dyDescent="0.2">
      <c r="A23" s="19" t="s">
        <v>28</v>
      </c>
      <c r="B23" s="31">
        <v>88</v>
      </c>
      <c r="C23" s="3" t="s">
        <v>159</v>
      </c>
      <c r="D23" s="3" t="s">
        <v>159</v>
      </c>
      <c r="E23" s="3">
        <v>189</v>
      </c>
      <c r="F23" s="3" t="s">
        <v>159</v>
      </c>
      <c r="G23" s="3" t="s">
        <v>159</v>
      </c>
      <c r="H23" s="3" t="s">
        <v>159</v>
      </c>
      <c r="I23" s="3" t="s">
        <v>159</v>
      </c>
      <c r="J23" s="97" t="s">
        <v>159</v>
      </c>
    </row>
    <row r="24" spans="1:11" ht="14.45" customHeight="1" x14ac:dyDescent="0.2">
      <c r="A24" s="18" t="s">
        <v>28</v>
      </c>
      <c r="B24" s="30">
        <v>108</v>
      </c>
      <c r="C24" s="2" t="s">
        <v>159</v>
      </c>
      <c r="D24" s="2" t="s">
        <v>159</v>
      </c>
      <c r="E24" s="2">
        <v>180</v>
      </c>
      <c r="F24" s="2">
        <v>311</v>
      </c>
      <c r="G24" s="2" t="s">
        <v>159</v>
      </c>
      <c r="H24" s="2" t="s">
        <v>159</v>
      </c>
      <c r="I24" s="2" t="s">
        <v>159</v>
      </c>
      <c r="J24" s="95" t="s">
        <v>159</v>
      </c>
    </row>
    <row r="25" spans="1:11" ht="14.45" customHeight="1" x14ac:dyDescent="0.2">
      <c r="A25" s="19" t="s">
        <v>29</v>
      </c>
      <c r="B25" s="31">
        <v>57</v>
      </c>
      <c r="C25" s="3" t="s">
        <v>159</v>
      </c>
      <c r="D25" s="3" t="s">
        <v>159</v>
      </c>
      <c r="E25" s="3">
        <v>140</v>
      </c>
      <c r="F25" s="3" t="s">
        <v>159</v>
      </c>
      <c r="G25" s="3" t="s">
        <v>159</v>
      </c>
      <c r="H25" s="3" t="s">
        <v>159</v>
      </c>
      <c r="I25" s="3" t="s">
        <v>159</v>
      </c>
      <c r="J25" s="97" t="s">
        <v>159</v>
      </c>
    </row>
    <row r="26" spans="1:11" ht="14.45" customHeight="1" x14ac:dyDescent="0.2">
      <c r="A26" s="354" t="s">
        <v>30</v>
      </c>
      <c r="B26" s="354"/>
      <c r="C26" s="8" t="s">
        <v>31</v>
      </c>
      <c r="D26" s="8">
        <v>1150.7</v>
      </c>
      <c r="E26" s="8">
        <v>744</v>
      </c>
      <c r="F26" s="8">
        <v>758</v>
      </c>
      <c r="G26" s="8">
        <v>0</v>
      </c>
      <c r="H26" s="8">
        <v>0</v>
      </c>
      <c r="I26" s="8">
        <v>232</v>
      </c>
      <c r="J26" s="96">
        <v>0</v>
      </c>
    </row>
    <row r="27" spans="1:11" ht="14.45" customHeight="1" x14ac:dyDescent="0.2">
      <c r="A27" s="353" t="s">
        <v>32</v>
      </c>
      <c r="B27" s="353"/>
      <c r="C27" s="9" t="s">
        <v>33</v>
      </c>
      <c r="D27" s="9">
        <v>1150.7</v>
      </c>
      <c r="E27" s="9" t="s">
        <v>34</v>
      </c>
      <c r="F27" s="9" t="s">
        <v>35</v>
      </c>
      <c r="G27" s="9">
        <v>109</v>
      </c>
      <c r="H27" s="9">
        <v>0</v>
      </c>
      <c r="I27" s="9">
        <v>313</v>
      </c>
      <c r="J27" s="98">
        <v>63.22</v>
      </c>
    </row>
    <row r="31" spans="1:11" ht="14.45" customHeight="1" x14ac:dyDescent="0.2">
      <c r="B31" s="20" t="s">
        <v>516</v>
      </c>
    </row>
    <row r="33" spans="2:3" ht="14.45" customHeight="1" x14ac:dyDescent="0.2">
      <c r="B33" s="28" t="s">
        <v>517</v>
      </c>
      <c r="C33" s="238">
        <f>+H27+I27+J27</f>
        <v>376.22</v>
      </c>
    </row>
    <row r="34" spans="2:3" ht="14.45" customHeight="1" x14ac:dyDescent="0.2">
      <c r="B34" s="28">
        <v>2020</v>
      </c>
      <c r="C34" s="238">
        <v>264</v>
      </c>
    </row>
    <row r="35" spans="2:3" ht="14.45" customHeight="1" x14ac:dyDescent="0.2">
      <c r="B35" s="28">
        <v>2021</v>
      </c>
      <c r="C35" s="238">
        <v>3000</v>
      </c>
    </row>
    <row r="36" spans="2:3" ht="14.45" customHeight="1" x14ac:dyDescent="0.2">
      <c r="B36" s="28">
        <v>2022</v>
      </c>
      <c r="C36" s="238">
        <v>0</v>
      </c>
    </row>
    <row r="37" spans="2:3" ht="14.45" customHeight="1" x14ac:dyDescent="0.2">
      <c r="B37" s="28" t="s">
        <v>518</v>
      </c>
      <c r="C37" s="238">
        <f>+C34+C35+C36</f>
        <v>3264</v>
      </c>
    </row>
    <row r="39" spans="2:3" ht="14.45" customHeight="1" x14ac:dyDescent="0.2">
      <c r="B39" s="28" t="s">
        <v>519</v>
      </c>
    </row>
  </sheetData>
  <mergeCells count="6">
    <mergeCell ref="A27:B27"/>
    <mergeCell ref="A7:B7"/>
    <mergeCell ref="A13:B13"/>
    <mergeCell ref="A26:B26"/>
    <mergeCell ref="A1:J1"/>
    <mergeCell ref="A2:J2"/>
  </mergeCells>
  <pageMargins left="0.7" right="0.7" top="0.75" bottom="0.75" header="0.3" footer="0.3"/>
  <pageSetup paperSize="9" scale="84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4"/>
  <sheetViews>
    <sheetView topLeftCell="G22" workbookViewId="0">
      <selection activeCell="H46" sqref="H46"/>
    </sheetView>
  </sheetViews>
  <sheetFormatPr baseColWidth="10" defaultColWidth="11.42578125" defaultRowHeight="14.45" customHeight="1" x14ac:dyDescent="0.2"/>
  <cols>
    <col min="1" max="1" width="15.28515625" style="57" customWidth="1"/>
    <col min="2" max="16" width="11.42578125" style="57"/>
    <col min="17" max="17" width="6.28515625" style="57" customWidth="1"/>
    <col min="18" max="16384" width="11.42578125" style="57"/>
  </cols>
  <sheetData>
    <row r="1" spans="1:18" ht="14.45" customHeight="1" x14ac:dyDescent="0.2">
      <c r="A1" s="403" t="s">
        <v>269</v>
      </c>
      <c r="B1" s="403"/>
      <c r="C1" s="403"/>
      <c r="D1" s="403"/>
      <c r="E1" s="403"/>
      <c r="F1" s="403"/>
      <c r="G1" s="403"/>
      <c r="H1" s="403"/>
      <c r="I1" s="403"/>
    </row>
    <row r="2" spans="1:18" ht="14.45" customHeight="1" x14ac:dyDescent="0.2">
      <c r="A2" s="403" t="s">
        <v>413</v>
      </c>
      <c r="B2" s="403"/>
      <c r="C2" s="403"/>
      <c r="D2" s="403"/>
      <c r="E2" s="403"/>
      <c r="F2" s="403"/>
      <c r="G2" s="403"/>
      <c r="H2" s="403"/>
      <c r="I2" s="403"/>
    </row>
    <row r="3" spans="1:18" ht="14.45" customHeight="1" x14ac:dyDescent="0.2">
      <c r="A3" s="408" t="s">
        <v>402</v>
      </c>
      <c r="B3" s="408"/>
      <c r="C3" s="408"/>
      <c r="D3" s="408"/>
      <c r="E3" s="408"/>
      <c r="F3" s="408"/>
      <c r="G3" s="408"/>
      <c r="H3" s="408"/>
      <c r="I3" s="408"/>
    </row>
    <row r="4" spans="1:18" ht="14.45" customHeight="1" x14ac:dyDescent="0.2">
      <c r="A4" s="16" t="s">
        <v>1</v>
      </c>
      <c r="B4" s="16" t="s">
        <v>2</v>
      </c>
      <c r="C4" s="16">
        <v>2013</v>
      </c>
      <c r="D4" s="16">
        <v>2014</v>
      </c>
      <c r="E4" s="16">
        <v>2015</v>
      </c>
      <c r="F4" s="16">
        <v>2016</v>
      </c>
      <c r="G4" s="16">
        <v>2017</v>
      </c>
      <c r="H4" s="16">
        <v>2018</v>
      </c>
      <c r="I4" s="29">
        <v>2019</v>
      </c>
    </row>
    <row r="5" spans="1:18" ht="14.45" customHeight="1" x14ac:dyDescent="0.2">
      <c r="A5" s="18" t="s">
        <v>45</v>
      </c>
      <c r="B5" s="1" t="s">
        <v>118</v>
      </c>
      <c r="C5" s="210">
        <v>532.79999999999995</v>
      </c>
      <c r="D5" s="210">
        <v>592.5</v>
      </c>
      <c r="E5" s="210">
        <v>506.9</v>
      </c>
      <c r="F5" s="210">
        <v>381.3</v>
      </c>
      <c r="G5" s="210">
        <v>310.39999999999998</v>
      </c>
      <c r="H5" s="210">
        <v>263.3</v>
      </c>
      <c r="I5" s="105">
        <v>236.24100000000001</v>
      </c>
    </row>
    <row r="6" spans="1:18" ht="14.45" customHeight="1" x14ac:dyDescent="0.2">
      <c r="A6" s="18" t="s">
        <v>252</v>
      </c>
      <c r="B6" s="1" t="s">
        <v>270</v>
      </c>
      <c r="C6" s="210">
        <v>154.5</v>
      </c>
      <c r="D6" s="210">
        <v>142.30000000000001</v>
      </c>
      <c r="E6" s="210">
        <v>129.9</v>
      </c>
      <c r="F6" s="210">
        <v>116.1</v>
      </c>
      <c r="G6" s="210">
        <v>104.2</v>
      </c>
      <c r="H6" s="210">
        <v>112.5</v>
      </c>
      <c r="I6" s="105">
        <v>120.003</v>
      </c>
      <c r="K6" s="406" t="s">
        <v>498</v>
      </c>
      <c r="L6" s="406"/>
      <c r="M6" s="406"/>
      <c r="N6" s="406"/>
      <c r="O6" s="406"/>
      <c r="P6" s="406"/>
    </row>
    <row r="7" spans="1:18" ht="14.45" customHeight="1" x14ac:dyDescent="0.2">
      <c r="A7" s="18" t="s">
        <v>45</v>
      </c>
      <c r="B7" s="1" t="s">
        <v>47</v>
      </c>
      <c r="C7" s="210">
        <v>708.8</v>
      </c>
      <c r="D7" s="210">
        <v>569.29999999999995</v>
      </c>
      <c r="E7" s="210">
        <v>450.2</v>
      </c>
      <c r="F7" s="210">
        <v>347.7</v>
      </c>
      <c r="G7" s="210">
        <v>268.2</v>
      </c>
      <c r="H7" s="210">
        <v>275.3</v>
      </c>
      <c r="I7" s="105">
        <v>263.86</v>
      </c>
      <c r="K7" s="406"/>
      <c r="L7" s="406"/>
      <c r="M7" s="406"/>
      <c r="N7" s="406"/>
      <c r="O7" s="406"/>
      <c r="P7" s="406"/>
    </row>
    <row r="8" spans="1:18" ht="14.45" customHeight="1" x14ac:dyDescent="0.2">
      <c r="A8" s="18" t="s">
        <v>45</v>
      </c>
      <c r="B8" s="1" t="s">
        <v>46</v>
      </c>
      <c r="C8" s="210">
        <v>259.8</v>
      </c>
      <c r="D8" s="210">
        <v>244.5</v>
      </c>
      <c r="E8" s="210">
        <v>233</v>
      </c>
      <c r="F8" s="210">
        <v>232.7</v>
      </c>
      <c r="G8" s="210">
        <v>531.20000000000005</v>
      </c>
      <c r="H8" s="210">
        <v>754.5</v>
      </c>
      <c r="I8" s="105">
        <v>946.48400000000004</v>
      </c>
    </row>
    <row r="9" spans="1:18" ht="14.45" customHeight="1" x14ac:dyDescent="0.2">
      <c r="A9" s="18" t="s">
        <v>45</v>
      </c>
      <c r="B9" s="1" t="s">
        <v>119</v>
      </c>
      <c r="C9" s="210">
        <v>48.2</v>
      </c>
      <c r="D9" s="210">
        <v>48.3</v>
      </c>
      <c r="E9" s="210">
        <v>59.1</v>
      </c>
      <c r="F9" s="210">
        <v>46.9</v>
      </c>
      <c r="G9" s="210">
        <v>36.200000000000003</v>
      </c>
      <c r="H9" s="210">
        <v>39.9</v>
      </c>
      <c r="I9" s="105">
        <v>38.347000000000001</v>
      </c>
    </row>
    <row r="10" spans="1:18" ht="14.45" customHeight="1" x14ac:dyDescent="0.2">
      <c r="A10" s="18" t="s">
        <v>120</v>
      </c>
      <c r="B10" s="1" t="s">
        <v>271</v>
      </c>
      <c r="C10" s="210">
        <v>1262.3</v>
      </c>
      <c r="D10" s="210">
        <v>1306.5999999999999</v>
      </c>
      <c r="E10" s="210">
        <v>1246.9000000000001</v>
      </c>
      <c r="F10" s="210">
        <v>1172.4000000000001</v>
      </c>
      <c r="G10" s="210">
        <v>1132.7</v>
      </c>
      <c r="H10" s="210">
        <v>1377.2</v>
      </c>
      <c r="I10" s="105">
        <v>1422.4659999999999</v>
      </c>
    </row>
    <row r="11" spans="1:18" ht="14.45" customHeight="1" x14ac:dyDescent="0.2">
      <c r="A11" s="18" t="s">
        <v>254</v>
      </c>
      <c r="B11" s="1" t="s">
        <v>58</v>
      </c>
      <c r="C11" s="210">
        <v>74.7</v>
      </c>
      <c r="D11" s="210">
        <v>71.599999999999994</v>
      </c>
      <c r="E11" s="210">
        <v>65.599999999999994</v>
      </c>
      <c r="F11" s="210">
        <v>69.3</v>
      </c>
      <c r="G11" s="210">
        <v>63.6</v>
      </c>
      <c r="H11" s="210">
        <v>63</v>
      </c>
      <c r="I11" s="105">
        <v>61.78</v>
      </c>
    </row>
    <row r="12" spans="1:18" ht="14.45" customHeight="1" x14ac:dyDescent="0.2">
      <c r="A12" s="18" t="s">
        <v>25</v>
      </c>
      <c r="B12" s="1" t="s">
        <v>48</v>
      </c>
      <c r="C12" s="210">
        <v>4221</v>
      </c>
      <c r="D12" s="210">
        <v>3790.9</v>
      </c>
      <c r="E12" s="210">
        <v>3900.5</v>
      </c>
      <c r="F12" s="210">
        <v>3941.7</v>
      </c>
      <c r="G12" s="210">
        <v>4085.3</v>
      </c>
      <c r="H12" s="210">
        <v>4827.2</v>
      </c>
      <c r="I12" s="105">
        <v>5227.6310000000003</v>
      </c>
    </row>
    <row r="13" spans="1:18" ht="14.45" customHeight="1" x14ac:dyDescent="0.2">
      <c r="A13" s="18" t="s">
        <v>49</v>
      </c>
      <c r="B13" s="1" t="s">
        <v>8</v>
      </c>
      <c r="C13" s="210">
        <v>1817.5</v>
      </c>
      <c r="D13" s="210">
        <v>2312.3000000000002</v>
      </c>
      <c r="E13" s="210">
        <v>1488.1</v>
      </c>
      <c r="F13" s="210">
        <v>1338.7</v>
      </c>
      <c r="G13" s="210">
        <v>989.1</v>
      </c>
      <c r="H13" s="210">
        <v>715.7</v>
      </c>
      <c r="I13" s="105">
        <v>717.73900000000003</v>
      </c>
    </row>
    <row r="14" spans="1:18" ht="14.45" customHeight="1" x14ac:dyDescent="0.2">
      <c r="A14" s="18" t="s">
        <v>252</v>
      </c>
      <c r="B14" s="1" t="s">
        <v>123</v>
      </c>
      <c r="C14" s="210">
        <v>31.7</v>
      </c>
      <c r="D14" s="210">
        <v>24.6</v>
      </c>
      <c r="E14" s="210">
        <v>21.5</v>
      </c>
      <c r="F14" s="210">
        <v>17.600000000000001</v>
      </c>
      <c r="G14" s="210">
        <v>14.4</v>
      </c>
      <c r="H14" s="210">
        <v>13</v>
      </c>
      <c r="I14" s="105">
        <v>13.388</v>
      </c>
      <c r="R14" s="219">
        <f>+I34/H34-1</f>
        <v>8.3512283945429644E-2</v>
      </c>
    </row>
    <row r="15" spans="1:18" ht="14.45" customHeight="1" x14ac:dyDescent="0.2">
      <c r="A15" s="18" t="s">
        <v>252</v>
      </c>
      <c r="B15" s="1" t="s">
        <v>175</v>
      </c>
      <c r="C15" s="210">
        <v>11.3</v>
      </c>
      <c r="D15" s="210">
        <v>9</v>
      </c>
      <c r="E15" s="210">
        <v>7</v>
      </c>
      <c r="F15" s="210">
        <v>5.4</v>
      </c>
      <c r="G15" s="210">
        <v>4.5</v>
      </c>
      <c r="H15" s="210">
        <v>8.1999999999999993</v>
      </c>
      <c r="I15" s="105">
        <v>5.7469999999999999</v>
      </c>
    </row>
    <row r="16" spans="1:18" ht="14.45" customHeight="1" x14ac:dyDescent="0.2">
      <c r="A16" s="50" t="s">
        <v>255</v>
      </c>
      <c r="B16" s="50"/>
      <c r="C16" s="211">
        <v>9122.6</v>
      </c>
      <c r="D16" s="211">
        <v>9112</v>
      </c>
      <c r="E16" s="211">
        <v>8108.6</v>
      </c>
      <c r="F16" s="211">
        <v>7669.9</v>
      </c>
      <c r="G16" s="211">
        <v>7539.8</v>
      </c>
      <c r="H16" s="211">
        <v>8449.7000000000007</v>
      </c>
      <c r="I16" s="106">
        <f>SUM(I5:I15)</f>
        <v>9053.6859999999997</v>
      </c>
      <c r="R16" s="57" t="s">
        <v>500</v>
      </c>
    </row>
    <row r="17" spans="1:16" ht="14.45" customHeight="1" x14ac:dyDescent="0.2">
      <c r="A17" s="54"/>
      <c r="B17" s="58"/>
      <c r="C17" s="210"/>
      <c r="D17" s="210"/>
      <c r="E17" s="210"/>
      <c r="F17" s="210"/>
      <c r="G17" s="210"/>
      <c r="H17" s="210"/>
      <c r="I17" s="105"/>
    </row>
    <row r="18" spans="1:16" ht="14.45" customHeight="1" x14ac:dyDescent="0.2">
      <c r="A18" s="18" t="s">
        <v>61</v>
      </c>
      <c r="B18" s="1" t="s">
        <v>272</v>
      </c>
      <c r="C18" s="210">
        <v>3729.5</v>
      </c>
      <c r="D18" s="210">
        <v>3905.7</v>
      </c>
      <c r="E18" s="210">
        <v>3507.4</v>
      </c>
      <c r="F18" s="210">
        <v>3060.5</v>
      </c>
      <c r="G18" s="210">
        <v>2866.8</v>
      </c>
      <c r="H18" s="210">
        <v>2795.4</v>
      </c>
      <c r="I18" s="105">
        <v>2611.7800000000002</v>
      </c>
    </row>
    <row r="19" spans="1:16" ht="14.45" customHeight="1" x14ac:dyDescent="0.2">
      <c r="A19" s="18" t="s">
        <v>61</v>
      </c>
      <c r="B19" s="1" t="s">
        <v>124</v>
      </c>
      <c r="C19" s="210" t="s">
        <v>159</v>
      </c>
      <c r="D19" s="210" t="s">
        <v>159</v>
      </c>
      <c r="E19" s="210" t="s">
        <v>159</v>
      </c>
      <c r="F19" s="210" t="s">
        <v>159</v>
      </c>
      <c r="G19" s="210" t="s">
        <v>159</v>
      </c>
      <c r="H19" s="210" t="s">
        <v>159</v>
      </c>
      <c r="I19" s="212">
        <v>3.4350000000000001</v>
      </c>
    </row>
    <row r="20" spans="1:16" ht="14.45" customHeight="1" x14ac:dyDescent="0.2">
      <c r="A20" s="18" t="s">
        <v>36</v>
      </c>
      <c r="B20" s="1" t="s">
        <v>37</v>
      </c>
      <c r="C20" s="210">
        <v>993.1</v>
      </c>
      <c r="D20" s="210">
        <v>1811</v>
      </c>
      <c r="E20" s="210">
        <v>1422.1</v>
      </c>
      <c r="F20" s="210">
        <v>1019.8</v>
      </c>
      <c r="G20" s="210">
        <v>850.7</v>
      </c>
      <c r="H20" s="210">
        <v>574.20000000000005</v>
      </c>
      <c r="I20" s="105">
        <v>476.95400000000001</v>
      </c>
    </row>
    <row r="21" spans="1:16" ht="14.45" customHeight="1" x14ac:dyDescent="0.2">
      <c r="A21" s="50" t="s">
        <v>273</v>
      </c>
      <c r="B21" s="50"/>
      <c r="C21" s="211">
        <v>4722.6000000000004</v>
      </c>
      <c r="D21" s="211">
        <v>5716.7</v>
      </c>
      <c r="E21" s="211">
        <v>4929.5</v>
      </c>
      <c r="F21" s="211">
        <v>4080.3</v>
      </c>
      <c r="G21" s="211">
        <v>3717.4</v>
      </c>
      <c r="H21" s="211">
        <v>3369.5</v>
      </c>
      <c r="I21" s="106">
        <f>SUM(I18:I20)</f>
        <v>3092.1690000000003</v>
      </c>
    </row>
    <row r="22" spans="1:16" ht="14.45" customHeight="1" x14ac:dyDescent="0.2">
      <c r="A22" s="54"/>
      <c r="B22" s="58"/>
      <c r="C22" s="210"/>
      <c r="D22" s="210"/>
      <c r="E22" s="210"/>
      <c r="F22" s="210"/>
      <c r="G22" s="210"/>
      <c r="H22" s="210"/>
      <c r="I22" s="105"/>
    </row>
    <row r="23" spans="1:16" ht="14.45" customHeight="1" x14ac:dyDescent="0.2">
      <c r="A23" s="18" t="s">
        <v>28</v>
      </c>
      <c r="B23" s="1" t="s">
        <v>274</v>
      </c>
      <c r="C23" s="210">
        <v>5407.3</v>
      </c>
      <c r="D23" s="210">
        <v>4734.8999999999996</v>
      </c>
      <c r="E23" s="210">
        <v>2594.6</v>
      </c>
      <c r="F23" s="210" t="s">
        <v>159</v>
      </c>
      <c r="G23" s="210" t="s">
        <v>159</v>
      </c>
      <c r="H23" s="210" t="s">
        <v>159</v>
      </c>
      <c r="I23" s="105" t="s">
        <v>159</v>
      </c>
    </row>
    <row r="24" spans="1:16" ht="14.45" customHeight="1" x14ac:dyDescent="0.2">
      <c r="A24" s="18" t="s">
        <v>411</v>
      </c>
      <c r="B24" s="27">
        <v>192</v>
      </c>
      <c r="C24" s="210" t="s">
        <v>159</v>
      </c>
      <c r="D24" s="210" t="s">
        <v>159</v>
      </c>
      <c r="E24" s="210">
        <v>877.7</v>
      </c>
      <c r="F24" s="210">
        <v>414.9</v>
      </c>
      <c r="G24" s="210">
        <v>1387.7</v>
      </c>
      <c r="H24" s="210">
        <v>2642</v>
      </c>
      <c r="I24" s="105">
        <v>2458.9830000000002</v>
      </c>
    </row>
    <row r="25" spans="1:16" ht="14.45" customHeight="1" x14ac:dyDescent="0.2">
      <c r="A25" s="18" t="s">
        <v>28</v>
      </c>
      <c r="B25" s="1">
        <v>8</v>
      </c>
      <c r="C25" s="210">
        <v>3482.7</v>
      </c>
      <c r="D25" s="210">
        <v>3489.1</v>
      </c>
      <c r="E25" s="210">
        <v>2806.4</v>
      </c>
      <c r="F25" s="210">
        <v>1601.3</v>
      </c>
      <c r="G25" s="210">
        <v>2132</v>
      </c>
      <c r="H25" s="210">
        <v>2058.4</v>
      </c>
      <c r="I25" s="105">
        <v>1611</v>
      </c>
    </row>
    <row r="26" spans="1:16" ht="14.45" customHeight="1" x14ac:dyDescent="0.2">
      <c r="A26" s="18" t="s">
        <v>125</v>
      </c>
      <c r="B26" s="1">
        <v>67</v>
      </c>
      <c r="C26" s="210">
        <v>14.4</v>
      </c>
      <c r="D26" s="210">
        <v>1846.5</v>
      </c>
      <c r="E26" s="210">
        <v>555.1</v>
      </c>
      <c r="F26" s="210">
        <v>131.6</v>
      </c>
      <c r="G26" s="210" t="s">
        <v>159</v>
      </c>
      <c r="H26" s="210">
        <v>134.80000000000001</v>
      </c>
      <c r="I26" s="105">
        <v>504.66800000000001</v>
      </c>
    </row>
    <row r="27" spans="1:16" ht="14.45" customHeight="1" x14ac:dyDescent="0.2">
      <c r="A27" s="18" t="s">
        <v>24</v>
      </c>
      <c r="B27" s="1">
        <v>95</v>
      </c>
      <c r="C27" s="210">
        <v>6.2</v>
      </c>
      <c r="D27" s="210" t="s">
        <v>159</v>
      </c>
      <c r="E27" s="210" t="s">
        <v>159</v>
      </c>
      <c r="F27" s="210" t="s">
        <v>159</v>
      </c>
      <c r="G27" s="210" t="s">
        <v>159</v>
      </c>
      <c r="H27" s="210">
        <v>170.4</v>
      </c>
      <c r="I27" s="105">
        <v>1498.825</v>
      </c>
      <c r="K27" s="407" t="s">
        <v>499</v>
      </c>
      <c r="L27" s="407"/>
      <c r="M27" s="407"/>
      <c r="N27" s="407"/>
      <c r="O27" s="407"/>
      <c r="P27" s="407"/>
    </row>
    <row r="28" spans="1:16" ht="14.45" customHeight="1" x14ac:dyDescent="0.2">
      <c r="A28" s="18" t="s">
        <v>412</v>
      </c>
      <c r="B28" s="1">
        <v>102</v>
      </c>
      <c r="C28" s="210">
        <v>50.8</v>
      </c>
      <c r="D28" s="210" t="s">
        <v>159</v>
      </c>
      <c r="E28" s="210" t="s">
        <v>159</v>
      </c>
      <c r="F28" s="210" t="s">
        <v>159</v>
      </c>
      <c r="G28" s="210" t="s">
        <v>159</v>
      </c>
      <c r="H28" s="210" t="s">
        <v>159</v>
      </c>
      <c r="I28" s="105" t="s">
        <v>159</v>
      </c>
      <c r="K28" s="407"/>
      <c r="L28" s="407"/>
      <c r="M28" s="407"/>
      <c r="N28" s="407"/>
      <c r="O28" s="407"/>
      <c r="P28" s="407"/>
    </row>
    <row r="29" spans="1:16" ht="14.45" customHeight="1" x14ac:dyDescent="0.2">
      <c r="A29" s="18" t="s">
        <v>259</v>
      </c>
      <c r="B29" s="1" t="s">
        <v>275</v>
      </c>
      <c r="C29" s="210">
        <v>109.1</v>
      </c>
      <c r="D29" s="210">
        <v>107.6</v>
      </c>
      <c r="E29" s="210">
        <v>96.7</v>
      </c>
      <c r="F29" s="210">
        <v>38.5</v>
      </c>
      <c r="G29" s="210">
        <v>27.4</v>
      </c>
      <c r="H29" s="210">
        <v>7.4</v>
      </c>
      <c r="I29" s="105" t="s">
        <v>159</v>
      </c>
    </row>
    <row r="30" spans="1:16" ht="14.45" customHeight="1" x14ac:dyDescent="0.2">
      <c r="A30" s="18" t="s">
        <v>259</v>
      </c>
      <c r="B30" s="1" t="s">
        <v>276</v>
      </c>
      <c r="C30" s="210">
        <v>37.700000000000003</v>
      </c>
      <c r="D30" s="210">
        <v>30.6</v>
      </c>
      <c r="E30" s="210">
        <v>24.9</v>
      </c>
      <c r="F30" s="210">
        <v>15.9</v>
      </c>
      <c r="G30" s="210">
        <v>10.5</v>
      </c>
      <c r="H30" s="210">
        <v>2.7</v>
      </c>
      <c r="I30" s="105" t="s">
        <v>159</v>
      </c>
    </row>
    <row r="31" spans="1:16" ht="14.45" customHeight="1" x14ac:dyDescent="0.2">
      <c r="A31" s="18" t="s">
        <v>26</v>
      </c>
      <c r="B31" s="1">
        <v>131</v>
      </c>
      <c r="C31" s="210">
        <v>2.6</v>
      </c>
      <c r="D31" s="210">
        <v>258.3</v>
      </c>
      <c r="E31" s="210">
        <v>1179.3</v>
      </c>
      <c r="F31" s="210">
        <v>820.7</v>
      </c>
      <c r="G31" s="210">
        <v>1085.5</v>
      </c>
      <c r="H31" s="210">
        <v>1002.2</v>
      </c>
      <c r="I31" s="105">
        <v>1119.7380000000001</v>
      </c>
    </row>
    <row r="32" spans="1:16" ht="14.45" customHeight="1" x14ac:dyDescent="0.2">
      <c r="A32" s="50" t="s">
        <v>261</v>
      </c>
      <c r="B32" s="50"/>
      <c r="C32" s="211">
        <v>9110.7999999999993</v>
      </c>
      <c r="D32" s="211">
        <v>10467.1</v>
      </c>
      <c r="E32" s="211">
        <v>8134.7</v>
      </c>
      <c r="F32" s="211">
        <v>3022.8</v>
      </c>
      <c r="G32" s="211">
        <v>4643.1000000000004</v>
      </c>
      <c r="H32" s="211">
        <v>6017.8</v>
      </c>
      <c r="I32" s="106">
        <f>SUM(I23:I31)</f>
        <v>7193.2139999999999</v>
      </c>
    </row>
    <row r="33" spans="1:18" ht="14.45" customHeight="1" x14ac:dyDescent="0.2">
      <c r="A33" s="405" t="s">
        <v>277</v>
      </c>
      <c r="B33" s="405"/>
      <c r="C33" s="213">
        <v>22956</v>
      </c>
      <c r="D33" s="213">
        <v>25295.8</v>
      </c>
      <c r="E33" s="213">
        <v>21172.799999999999</v>
      </c>
      <c r="F33" s="213">
        <v>14773</v>
      </c>
      <c r="G33" s="213">
        <v>15900.3</v>
      </c>
      <c r="H33" s="213">
        <v>17837</v>
      </c>
      <c r="I33" s="107">
        <f>SUM(I16+I21+I32)</f>
        <v>19339.069</v>
      </c>
    </row>
    <row r="34" spans="1:18" ht="14.45" customHeight="1" x14ac:dyDescent="0.2">
      <c r="A34" s="405" t="s">
        <v>278</v>
      </c>
      <c r="B34" s="405"/>
      <c r="C34" s="63">
        <v>62.9</v>
      </c>
      <c r="D34" s="63">
        <v>69.3</v>
      </c>
      <c r="E34" s="63">
        <v>58</v>
      </c>
      <c r="F34" s="63">
        <v>40.5</v>
      </c>
      <c r="G34" s="63">
        <v>43.6</v>
      </c>
      <c r="H34" s="63">
        <v>48.9</v>
      </c>
      <c r="I34" s="104">
        <f>I33/365</f>
        <v>52.983750684931508</v>
      </c>
    </row>
    <row r="35" spans="1:18" ht="14.45" customHeight="1" x14ac:dyDescent="0.2">
      <c r="A35" s="409"/>
      <c r="B35" s="409"/>
      <c r="C35" s="409"/>
      <c r="D35" s="409"/>
      <c r="E35" s="409"/>
      <c r="F35" s="409"/>
      <c r="G35" s="409"/>
      <c r="H35" s="409"/>
      <c r="I35" s="108"/>
    </row>
    <row r="36" spans="1:18" ht="14.45" customHeight="1" x14ac:dyDescent="0.2">
      <c r="A36" s="408" t="s">
        <v>279</v>
      </c>
      <c r="B36" s="408"/>
      <c r="C36" s="408"/>
      <c r="D36" s="408"/>
      <c r="E36" s="408"/>
      <c r="F36" s="408"/>
      <c r="G36" s="408"/>
      <c r="H36" s="408"/>
      <c r="I36" s="408"/>
    </row>
    <row r="37" spans="1:18" ht="14.45" customHeight="1" x14ac:dyDescent="0.2">
      <c r="A37" s="16" t="s">
        <v>1</v>
      </c>
      <c r="B37" s="16" t="s">
        <v>2</v>
      </c>
      <c r="C37" s="16">
        <v>2013</v>
      </c>
      <c r="D37" s="16">
        <v>2014</v>
      </c>
      <c r="E37" s="16">
        <v>2015</v>
      </c>
      <c r="F37" s="16">
        <v>2016</v>
      </c>
      <c r="G37" s="16">
        <v>2017</v>
      </c>
      <c r="H37" s="16">
        <v>2018</v>
      </c>
      <c r="I37" s="29">
        <v>2019</v>
      </c>
      <c r="R37" s="220">
        <f>+I46/H46-1</f>
        <v>1.4472803012096414E-2</v>
      </c>
    </row>
    <row r="38" spans="1:18" ht="14.45" customHeight="1" x14ac:dyDescent="0.2">
      <c r="A38" s="18" t="s">
        <v>61</v>
      </c>
      <c r="B38" s="1" t="s">
        <v>272</v>
      </c>
      <c r="C38" s="132">
        <v>479.2</v>
      </c>
      <c r="D38" s="132">
        <v>466.4</v>
      </c>
      <c r="E38" s="132">
        <v>470.5</v>
      </c>
      <c r="F38" s="132">
        <v>429.7</v>
      </c>
      <c r="G38" s="132">
        <v>374.7</v>
      </c>
      <c r="H38" s="132">
        <v>374</v>
      </c>
      <c r="I38" s="214">
        <v>349.291</v>
      </c>
    </row>
    <row r="39" spans="1:18" ht="14.45" customHeight="1" x14ac:dyDescent="0.2">
      <c r="A39" s="50" t="s">
        <v>264</v>
      </c>
      <c r="B39" s="43"/>
      <c r="C39" s="215">
        <v>479.2</v>
      </c>
      <c r="D39" s="215">
        <v>466.4</v>
      </c>
      <c r="E39" s="215">
        <v>470.5</v>
      </c>
      <c r="F39" s="215">
        <v>429.7</v>
      </c>
      <c r="G39" s="215">
        <v>374.7</v>
      </c>
      <c r="H39" s="215">
        <v>374</v>
      </c>
      <c r="I39" s="216">
        <f>SUM(I38)</f>
        <v>349.291</v>
      </c>
      <c r="R39" s="57" t="s">
        <v>501</v>
      </c>
    </row>
    <row r="40" spans="1:18" ht="14.45" customHeight="1" x14ac:dyDescent="0.2">
      <c r="A40" s="18" t="s">
        <v>280</v>
      </c>
      <c r="B40" s="1" t="s">
        <v>281</v>
      </c>
      <c r="C40" s="132">
        <v>837.9</v>
      </c>
      <c r="D40" s="132">
        <v>784.4</v>
      </c>
      <c r="E40" s="132">
        <v>720.5</v>
      </c>
      <c r="F40" s="132">
        <v>471.5</v>
      </c>
      <c r="G40" s="132">
        <v>410</v>
      </c>
      <c r="H40" s="132">
        <v>382.1</v>
      </c>
      <c r="I40" s="214">
        <v>275.7</v>
      </c>
    </row>
    <row r="41" spans="1:18" ht="14.45" customHeight="1" x14ac:dyDescent="0.2">
      <c r="A41" s="18" t="s">
        <v>28</v>
      </c>
      <c r="B41" s="1">
        <v>88</v>
      </c>
      <c r="C41" s="132">
        <v>22938.799999999999</v>
      </c>
      <c r="D41" s="132">
        <v>21194.1</v>
      </c>
      <c r="E41" s="132">
        <v>18818.400000000001</v>
      </c>
      <c r="F41" s="132">
        <v>18371.8</v>
      </c>
      <c r="G41" s="132">
        <v>17865</v>
      </c>
      <c r="H41" s="132">
        <v>16975.599999999999</v>
      </c>
      <c r="I41" s="214">
        <v>17338.600999999999</v>
      </c>
    </row>
    <row r="42" spans="1:18" ht="14.45" customHeight="1" x14ac:dyDescent="0.2">
      <c r="A42" s="18" t="s">
        <v>29</v>
      </c>
      <c r="B42" s="1">
        <v>57</v>
      </c>
      <c r="C42" s="132" t="s">
        <v>159</v>
      </c>
      <c r="D42" s="132">
        <v>1609.9</v>
      </c>
      <c r="E42" s="132">
        <v>1755.2</v>
      </c>
      <c r="F42" s="132">
        <v>3214.3</v>
      </c>
      <c r="G42" s="132">
        <v>3700</v>
      </c>
      <c r="H42" s="132">
        <v>4493.6000000000004</v>
      </c>
      <c r="I42" s="214">
        <v>4459.2550000000001</v>
      </c>
    </row>
    <row r="43" spans="1:18" ht="14.45" customHeight="1" x14ac:dyDescent="0.2">
      <c r="A43" s="18" t="s">
        <v>28</v>
      </c>
      <c r="B43" s="1">
        <v>56</v>
      </c>
      <c r="C43" s="132">
        <v>13931.2</v>
      </c>
      <c r="D43" s="132">
        <v>13696</v>
      </c>
      <c r="E43" s="132">
        <v>11595.3</v>
      </c>
      <c r="F43" s="132">
        <v>12184.4</v>
      </c>
      <c r="G43" s="132">
        <v>10784.5</v>
      </c>
      <c r="H43" s="132">
        <v>8973.6</v>
      </c>
      <c r="I43" s="214">
        <v>9236.3130000000001</v>
      </c>
    </row>
    <row r="44" spans="1:18" ht="14.45" customHeight="1" x14ac:dyDescent="0.2">
      <c r="A44" s="50" t="s">
        <v>266</v>
      </c>
      <c r="B44" s="43"/>
      <c r="C44" s="215">
        <v>37707.9</v>
      </c>
      <c r="D44" s="215">
        <v>37284.5</v>
      </c>
      <c r="E44" s="215">
        <v>32889.5</v>
      </c>
      <c r="F44" s="215">
        <v>34242</v>
      </c>
      <c r="G44" s="215">
        <v>32759.5</v>
      </c>
      <c r="H44" s="215">
        <v>30825</v>
      </c>
      <c r="I44" s="216">
        <f>SUM(I40:I43)</f>
        <v>31309.868999999999</v>
      </c>
    </row>
    <row r="45" spans="1:18" ht="23.25" customHeight="1" x14ac:dyDescent="0.2">
      <c r="A45" s="405" t="s">
        <v>282</v>
      </c>
      <c r="B45" s="405"/>
      <c r="C45" s="217">
        <v>38187.1</v>
      </c>
      <c r="D45" s="217">
        <v>37750.800000000003</v>
      </c>
      <c r="E45" s="217">
        <v>33360</v>
      </c>
      <c r="F45" s="217">
        <v>34671.699999999997</v>
      </c>
      <c r="G45" s="217">
        <v>33134.199999999997</v>
      </c>
      <c r="H45" s="217">
        <v>31199</v>
      </c>
      <c r="I45" s="218">
        <f>SUM(I39+I44)</f>
        <v>31659.16</v>
      </c>
    </row>
    <row r="46" spans="1:18" ht="21.75" customHeight="1" x14ac:dyDescent="0.2">
      <c r="A46" s="405" t="s">
        <v>283</v>
      </c>
      <c r="B46" s="405"/>
      <c r="C46" s="63">
        <v>104.6</v>
      </c>
      <c r="D46" s="63">
        <v>103.4</v>
      </c>
      <c r="E46" s="63">
        <v>91.4</v>
      </c>
      <c r="F46" s="63">
        <v>95</v>
      </c>
      <c r="G46" s="63">
        <v>90.8</v>
      </c>
      <c r="H46" s="63">
        <v>85.5</v>
      </c>
      <c r="I46" s="104">
        <f>I45/365</f>
        <v>86.737424657534248</v>
      </c>
    </row>
    <row r="47" spans="1:18" ht="14.45" customHeight="1" x14ac:dyDescent="0.2">
      <c r="A47" s="410"/>
      <c r="B47" s="410"/>
      <c r="C47" s="59"/>
      <c r="D47" s="59"/>
      <c r="E47" s="59"/>
      <c r="F47" s="59"/>
      <c r="G47" s="59"/>
      <c r="H47" s="59"/>
      <c r="I47" s="109"/>
      <c r="J47" s="112"/>
    </row>
    <row r="48" spans="1:18" ht="20.25" customHeight="1" x14ac:dyDescent="0.2">
      <c r="A48" s="353" t="s">
        <v>284</v>
      </c>
      <c r="B48" s="353"/>
      <c r="C48" s="60">
        <v>61143.1</v>
      </c>
      <c r="D48" s="60">
        <v>63046.6</v>
      </c>
      <c r="E48" s="60">
        <v>54532.800000000003</v>
      </c>
      <c r="F48" s="60">
        <v>49444.7</v>
      </c>
      <c r="G48" s="60">
        <v>49034.5</v>
      </c>
      <c r="H48" s="60">
        <v>49036</v>
      </c>
      <c r="I48" s="110">
        <f>SUM(I33+I45)</f>
        <v>50998.228999999999</v>
      </c>
    </row>
    <row r="49" spans="1:17" ht="24" customHeight="1" x14ac:dyDescent="0.2">
      <c r="A49" s="353" t="s">
        <v>285</v>
      </c>
      <c r="B49" s="353"/>
      <c r="C49" s="9">
        <v>167.5</v>
      </c>
      <c r="D49" s="9">
        <v>172.7</v>
      </c>
      <c r="E49" s="9">
        <v>149.4</v>
      </c>
      <c r="F49" s="9">
        <v>135.5</v>
      </c>
      <c r="G49" s="9">
        <v>134.30000000000001</v>
      </c>
      <c r="H49" s="9">
        <v>134.30000000000001</v>
      </c>
      <c r="I49" s="110">
        <v>139.721</v>
      </c>
    </row>
    <row r="50" spans="1:17" ht="14.45" customHeight="1" x14ac:dyDescent="0.2">
      <c r="H50" s="111"/>
      <c r="L50" s="406" t="s">
        <v>502</v>
      </c>
      <c r="M50" s="406"/>
      <c r="N50" s="406"/>
      <c r="O50" s="406"/>
      <c r="P50" s="406"/>
      <c r="Q50" s="406"/>
    </row>
    <row r="51" spans="1:17" ht="14.45" customHeight="1" x14ac:dyDescent="0.2">
      <c r="L51" s="406"/>
      <c r="M51" s="406"/>
      <c r="N51" s="406"/>
      <c r="O51" s="406"/>
      <c r="P51" s="406"/>
      <c r="Q51" s="406"/>
    </row>
    <row r="52" spans="1:17" ht="14.45" customHeight="1" x14ac:dyDescent="0.2">
      <c r="L52" s="221"/>
      <c r="M52" s="221">
        <v>2019</v>
      </c>
      <c r="N52" s="221">
        <v>2020</v>
      </c>
      <c r="O52" s="221">
        <v>2021</v>
      </c>
      <c r="P52" s="221">
        <v>2022</v>
      </c>
      <c r="Q52" s="221">
        <v>2023</v>
      </c>
    </row>
    <row r="53" spans="1:17" ht="14.45" customHeight="1" x14ac:dyDescent="0.2">
      <c r="L53" s="222" t="s">
        <v>358</v>
      </c>
      <c r="M53" s="223">
        <v>61.847999999999999</v>
      </c>
      <c r="N53" s="223">
        <v>78.873999999999995</v>
      </c>
      <c r="O53" s="223">
        <v>86.623000000000005</v>
      </c>
      <c r="P53" s="223">
        <v>86.331000000000003</v>
      </c>
      <c r="Q53" s="223">
        <v>100.718</v>
      </c>
    </row>
    <row r="54" spans="1:17" ht="14.45" customHeight="1" x14ac:dyDescent="0.2">
      <c r="L54" s="221" t="s">
        <v>359</v>
      </c>
      <c r="M54" s="224">
        <v>84.105999999999995</v>
      </c>
      <c r="N54" s="224">
        <v>86.171000000000006</v>
      </c>
      <c r="O54" s="224">
        <v>83.051000000000002</v>
      </c>
      <c r="P54" s="224">
        <v>82.653000000000006</v>
      </c>
      <c r="Q54" s="224">
        <v>96.495000000000005</v>
      </c>
    </row>
  </sheetData>
  <mergeCells count="15">
    <mergeCell ref="K6:P7"/>
    <mergeCell ref="K27:P28"/>
    <mergeCell ref="L50:Q51"/>
    <mergeCell ref="A1:I1"/>
    <mergeCell ref="A2:I2"/>
    <mergeCell ref="A3:I3"/>
    <mergeCell ref="A36:I36"/>
    <mergeCell ref="A49:B49"/>
    <mergeCell ref="A33:B33"/>
    <mergeCell ref="A34:B34"/>
    <mergeCell ref="A35:H35"/>
    <mergeCell ref="A45:B45"/>
    <mergeCell ref="A46:B46"/>
    <mergeCell ref="A47:B47"/>
    <mergeCell ref="A48:B48"/>
  </mergeCells>
  <pageMargins left="0.7" right="0.7" top="0.75" bottom="0.75" header="0.3" footer="0.3"/>
  <pageSetup scale="94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3"/>
  <sheetViews>
    <sheetView topLeftCell="D1" zoomScale="90" zoomScaleNormal="90" workbookViewId="0">
      <selection activeCell="A28" sqref="A28"/>
    </sheetView>
  </sheetViews>
  <sheetFormatPr baseColWidth="10" defaultColWidth="13.7109375" defaultRowHeight="14.45" customHeight="1" x14ac:dyDescent="0.25"/>
  <cols>
    <col min="1" max="1" width="13.7109375" style="20"/>
    <col min="2" max="2" width="18.42578125" style="28" customWidth="1"/>
    <col min="3" max="14" width="13.7109375" style="15"/>
    <col min="15" max="15" width="15" style="15" bestFit="1" customWidth="1"/>
    <col min="16" max="16384" width="13.7109375" style="15"/>
  </cols>
  <sheetData>
    <row r="1" spans="1:15" s="28" customFormat="1" ht="14.45" customHeight="1" x14ac:dyDescent="0.25">
      <c r="A1" s="369" t="s">
        <v>286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28" customFormat="1" ht="14.45" customHeight="1" x14ac:dyDescent="0.25">
      <c r="A2" s="369">
        <v>2019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1:15" s="28" customFormat="1" ht="14.45" customHeight="1" x14ac:dyDescent="0.25">
      <c r="A3" s="16" t="s">
        <v>1</v>
      </c>
      <c r="B3" s="16" t="s">
        <v>2</v>
      </c>
      <c r="C3" s="16" t="s">
        <v>239</v>
      </c>
      <c r="D3" s="16" t="s">
        <v>240</v>
      </c>
      <c r="E3" s="16" t="s">
        <v>241</v>
      </c>
      <c r="F3" s="16" t="s">
        <v>242</v>
      </c>
      <c r="G3" s="16" t="s">
        <v>243</v>
      </c>
      <c r="H3" s="16" t="s">
        <v>244</v>
      </c>
      <c r="I3" s="16" t="s">
        <v>245</v>
      </c>
      <c r="J3" s="16" t="s">
        <v>246</v>
      </c>
      <c r="K3" s="16" t="s">
        <v>247</v>
      </c>
      <c r="L3" s="16" t="s">
        <v>248</v>
      </c>
      <c r="M3" s="16" t="s">
        <v>249</v>
      </c>
      <c r="N3" s="16" t="s">
        <v>250</v>
      </c>
      <c r="O3" s="16" t="s">
        <v>287</v>
      </c>
    </row>
    <row r="4" spans="1:15" ht="14.45" customHeight="1" x14ac:dyDescent="0.25">
      <c r="A4" s="18" t="s">
        <v>45</v>
      </c>
      <c r="B4" s="27" t="s">
        <v>118</v>
      </c>
      <c r="C4" s="48">
        <v>179778</v>
      </c>
      <c r="D4" s="48">
        <v>153122</v>
      </c>
      <c r="E4" s="48">
        <v>163861</v>
      </c>
      <c r="F4" s="48">
        <v>157818</v>
      </c>
      <c r="G4" s="48">
        <v>159829</v>
      </c>
      <c r="H4" s="48">
        <v>136608</v>
      </c>
      <c r="I4" s="48">
        <v>138567</v>
      </c>
      <c r="J4" s="48">
        <v>146217</v>
      </c>
      <c r="K4" s="48">
        <v>133339</v>
      </c>
      <c r="L4" s="48">
        <v>136117</v>
      </c>
      <c r="M4" s="48">
        <v>130478</v>
      </c>
      <c r="N4" s="48">
        <v>135009</v>
      </c>
      <c r="O4" s="48">
        <f>SUM(C4:N4)</f>
        <v>1770743</v>
      </c>
    </row>
    <row r="5" spans="1:15" ht="14.45" customHeight="1" x14ac:dyDescent="0.25">
      <c r="A5" s="18" t="s">
        <v>122</v>
      </c>
      <c r="B5" s="27" t="s">
        <v>138</v>
      </c>
      <c r="C5" s="48">
        <v>70959</v>
      </c>
      <c r="D5" s="48">
        <v>64051</v>
      </c>
      <c r="E5" s="48">
        <v>71591</v>
      </c>
      <c r="F5" s="48">
        <v>64792</v>
      </c>
      <c r="G5" s="48">
        <v>70375</v>
      </c>
      <c r="H5" s="48">
        <v>69932</v>
      </c>
      <c r="I5" s="48">
        <v>67371</v>
      </c>
      <c r="J5" s="48">
        <v>71116</v>
      </c>
      <c r="K5" s="48">
        <v>65317</v>
      </c>
      <c r="L5" s="48">
        <v>68255</v>
      </c>
      <c r="M5" s="48">
        <v>55959</v>
      </c>
      <c r="N5" s="48">
        <v>33843</v>
      </c>
      <c r="O5" s="48">
        <f>SUM(C5:N5)-1</f>
        <v>773560</v>
      </c>
    </row>
    <row r="6" spans="1:15" ht="14.45" customHeight="1" x14ac:dyDescent="0.25">
      <c r="A6" s="90" t="s">
        <v>45</v>
      </c>
      <c r="B6" s="88" t="s">
        <v>46</v>
      </c>
      <c r="C6" s="48" t="s">
        <v>159</v>
      </c>
      <c r="D6" s="48" t="s">
        <v>159</v>
      </c>
      <c r="E6" s="48" t="s">
        <v>159</v>
      </c>
      <c r="F6" s="48" t="s">
        <v>159</v>
      </c>
      <c r="G6" s="48" t="s">
        <v>159</v>
      </c>
      <c r="H6" s="48" t="s">
        <v>159</v>
      </c>
      <c r="I6" s="48" t="s">
        <v>159</v>
      </c>
      <c r="J6" s="48" t="s">
        <v>159</v>
      </c>
      <c r="K6" s="48" t="s">
        <v>159</v>
      </c>
      <c r="L6" s="48">
        <v>2487</v>
      </c>
      <c r="M6" s="48">
        <v>5783</v>
      </c>
      <c r="N6" s="48">
        <v>7635</v>
      </c>
      <c r="O6" s="48">
        <f t="shared" ref="O6:O8" si="0">SUM(C6:N6)</f>
        <v>15905</v>
      </c>
    </row>
    <row r="7" spans="1:15" ht="14.45" customHeight="1" x14ac:dyDescent="0.25">
      <c r="A7" s="18" t="s">
        <v>120</v>
      </c>
      <c r="B7" s="27" t="s">
        <v>253</v>
      </c>
      <c r="C7" s="48">
        <v>90844</v>
      </c>
      <c r="D7" s="48">
        <v>86731</v>
      </c>
      <c r="E7" s="48">
        <v>96565</v>
      </c>
      <c r="F7" s="48">
        <v>96813</v>
      </c>
      <c r="G7" s="48">
        <v>92743</v>
      </c>
      <c r="H7" s="48">
        <v>91058</v>
      </c>
      <c r="I7" s="48">
        <v>104861</v>
      </c>
      <c r="J7" s="48">
        <v>117859</v>
      </c>
      <c r="K7" s="48">
        <v>120826</v>
      </c>
      <c r="L7" s="48">
        <v>125088</v>
      </c>
      <c r="M7" s="48">
        <v>122607</v>
      </c>
      <c r="N7" s="48">
        <v>108964</v>
      </c>
      <c r="O7" s="48">
        <f t="shared" si="0"/>
        <v>1254959</v>
      </c>
    </row>
    <row r="8" spans="1:15" ht="14.45" customHeight="1" x14ac:dyDescent="0.25">
      <c r="A8" s="18" t="s">
        <v>25</v>
      </c>
      <c r="B8" s="27" t="s">
        <v>48</v>
      </c>
      <c r="C8" s="48">
        <v>478209</v>
      </c>
      <c r="D8" s="48">
        <v>415508</v>
      </c>
      <c r="E8" s="48">
        <v>448736</v>
      </c>
      <c r="F8" s="48">
        <v>421605</v>
      </c>
      <c r="G8" s="48">
        <v>473079</v>
      </c>
      <c r="H8" s="48">
        <v>478829</v>
      </c>
      <c r="I8" s="48">
        <v>491655</v>
      </c>
      <c r="J8" s="48">
        <v>445251</v>
      </c>
      <c r="K8" s="48">
        <v>514499</v>
      </c>
      <c r="L8" s="48">
        <v>530171</v>
      </c>
      <c r="M8" s="48">
        <v>484293</v>
      </c>
      <c r="N8" s="48">
        <v>497406</v>
      </c>
      <c r="O8" s="48">
        <f t="shared" si="0"/>
        <v>5679241</v>
      </c>
    </row>
    <row r="9" spans="1:15" ht="14.45" customHeight="1" x14ac:dyDescent="0.25">
      <c r="A9" s="18" t="s">
        <v>49</v>
      </c>
      <c r="B9" s="27" t="s">
        <v>8</v>
      </c>
      <c r="C9" s="48">
        <v>398392</v>
      </c>
      <c r="D9" s="48">
        <v>386388</v>
      </c>
      <c r="E9" s="48">
        <v>442361</v>
      </c>
      <c r="F9" s="48">
        <v>456712</v>
      </c>
      <c r="G9" s="48">
        <v>447912</v>
      </c>
      <c r="H9" s="48">
        <v>499185</v>
      </c>
      <c r="I9" s="48">
        <v>577353</v>
      </c>
      <c r="J9" s="48">
        <v>671746</v>
      </c>
      <c r="K9" s="48">
        <v>563226</v>
      </c>
      <c r="L9" s="48">
        <v>655462</v>
      </c>
      <c r="M9" s="48">
        <v>538908</v>
      </c>
      <c r="N9" s="48">
        <v>705271</v>
      </c>
      <c r="O9" s="48">
        <f>SUM(C9:N9)+2</f>
        <v>6342918</v>
      </c>
    </row>
    <row r="10" spans="1:15" ht="14.45" customHeight="1" x14ac:dyDescent="0.25">
      <c r="A10" s="354" t="s">
        <v>255</v>
      </c>
      <c r="B10" s="354"/>
      <c r="C10" s="51">
        <f t="shared" ref="C10:O10" si="1">SUM(C4:C9)</f>
        <v>1218182</v>
      </c>
      <c r="D10" s="51">
        <f t="shared" si="1"/>
        <v>1105800</v>
      </c>
      <c r="E10" s="51">
        <f t="shared" si="1"/>
        <v>1223114</v>
      </c>
      <c r="F10" s="51">
        <f t="shared" si="1"/>
        <v>1197740</v>
      </c>
      <c r="G10" s="51">
        <f t="shared" si="1"/>
        <v>1243938</v>
      </c>
      <c r="H10" s="51">
        <f t="shared" si="1"/>
        <v>1275612</v>
      </c>
      <c r="I10" s="51">
        <f t="shared" si="1"/>
        <v>1379807</v>
      </c>
      <c r="J10" s="51">
        <f t="shared" si="1"/>
        <v>1452189</v>
      </c>
      <c r="K10" s="51">
        <f t="shared" si="1"/>
        <v>1397207</v>
      </c>
      <c r="L10" s="51">
        <f t="shared" si="1"/>
        <v>1517580</v>
      </c>
      <c r="M10" s="51">
        <f t="shared" si="1"/>
        <v>1338028</v>
      </c>
      <c r="N10" s="51">
        <f t="shared" si="1"/>
        <v>1488128</v>
      </c>
      <c r="O10" s="51">
        <f t="shared" si="1"/>
        <v>15837326</v>
      </c>
    </row>
    <row r="11" spans="1:15" ht="14.45" customHeight="1" x14ac:dyDescent="0.25">
      <c r="A11" s="18" t="s">
        <v>61</v>
      </c>
      <c r="B11" s="27" t="s">
        <v>62</v>
      </c>
      <c r="C11" s="48">
        <v>238157</v>
      </c>
      <c r="D11" s="48">
        <v>216962</v>
      </c>
      <c r="E11" s="48">
        <v>206997</v>
      </c>
      <c r="F11" s="48">
        <v>185432</v>
      </c>
      <c r="G11" s="48">
        <v>311925</v>
      </c>
      <c r="H11" s="48">
        <v>284357</v>
      </c>
      <c r="I11" s="48">
        <v>278404</v>
      </c>
      <c r="J11" s="48">
        <v>267568</v>
      </c>
      <c r="K11" s="48">
        <v>197039</v>
      </c>
      <c r="L11" s="48">
        <v>224345</v>
      </c>
      <c r="M11" s="48">
        <v>219490</v>
      </c>
      <c r="N11" s="48">
        <v>198236</v>
      </c>
      <c r="O11" s="48">
        <f>SUM(C11:N11)-2</f>
        <v>2828910</v>
      </c>
    </row>
    <row r="12" spans="1:15" ht="14.45" customHeight="1" x14ac:dyDescent="0.25">
      <c r="A12" s="354" t="s">
        <v>288</v>
      </c>
      <c r="B12" s="354"/>
      <c r="C12" s="51">
        <f>SUM(C11)</f>
        <v>238157</v>
      </c>
      <c r="D12" s="51">
        <f t="shared" ref="D12:O12" si="2">SUM(D11)</f>
        <v>216962</v>
      </c>
      <c r="E12" s="51">
        <f t="shared" si="2"/>
        <v>206997</v>
      </c>
      <c r="F12" s="51">
        <f t="shared" si="2"/>
        <v>185432</v>
      </c>
      <c r="G12" s="51">
        <f t="shared" si="2"/>
        <v>311925</v>
      </c>
      <c r="H12" s="51">
        <f t="shared" si="2"/>
        <v>284357</v>
      </c>
      <c r="I12" s="51">
        <f t="shared" si="2"/>
        <v>278404</v>
      </c>
      <c r="J12" s="51">
        <f t="shared" si="2"/>
        <v>267568</v>
      </c>
      <c r="K12" s="51">
        <f t="shared" si="2"/>
        <v>197039</v>
      </c>
      <c r="L12" s="51">
        <f t="shared" si="2"/>
        <v>224345</v>
      </c>
      <c r="M12" s="51">
        <f t="shared" si="2"/>
        <v>219490</v>
      </c>
      <c r="N12" s="51">
        <f t="shared" si="2"/>
        <v>198236</v>
      </c>
      <c r="O12" s="51">
        <f t="shared" si="2"/>
        <v>2828910</v>
      </c>
    </row>
    <row r="13" spans="1:15" ht="14.45" customHeight="1" x14ac:dyDescent="0.25">
      <c r="A13" s="18" t="s">
        <v>280</v>
      </c>
      <c r="B13" s="27" t="s">
        <v>281</v>
      </c>
      <c r="C13" s="48">
        <v>265712</v>
      </c>
      <c r="D13" s="48">
        <v>191111</v>
      </c>
      <c r="E13" s="48">
        <v>101299</v>
      </c>
      <c r="F13" s="48">
        <v>105860</v>
      </c>
      <c r="G13" s="48">
        <v>381392</v>
      </c>
      <c r="H13" s="48">
        <v>272235</v>
      </c>
      <c r="I13" s="48">
        <v>337689</v>
      </c>
      <c r="J13" s="48">
        <v>894310</v>
      </c>
      <c r="K13" s="48">
        <v>634498</v>
      </c>
      <c r="L13" s="48">
        <v>608649</v>
      </c>
      <c r="M13" s="48">
        <v>188223</v>
      </c>
      <c r="N13" s="48">
        <v>23702</v>
      </c>
      <c r="O13" s="48">
        <f>SUM(C13:N13)</f>
        <v>4004680</v>
      </c>
    </row>
    <row r="14" spans="1:15" ht="14.45" customHeight="1" x14ac:dyDescent="0.25">
      <c r="A14" s="18" t="s">
        <v>29</v>
      </c>
      <c r="B14" s="27">
        <v>57</v>
      </c>
      <c r="C14" s="48">
        <v>5944252</v>
      </c>
      <c r="D14" s="48">
        <v>5730491</v>
      </c>
      <c r="E14" s="48">
        <v>5617040</v>
      </c>
      <c r="F14" s="48">
        <v>5134262</v>
      </c>
      <c r="G14" s="48">
        <v>4227076</v>
      </c>
      <c r="H14" s="48">
        <v>3380154</v>
      </c>
      <c r="I14" s="48">
        <v>5066843</v>
      </c>
      <c r="J14" s="48">
        <v>5979073</v>
      </c>
      <c r="K14" s="48">
        <v>6074081</v>
      </c>
      <c r="L14" s="48">
        <v>5555917</v>
      </c>
      <c r="M14" s="48">
        <v>6060484</v>
      </c>
      <c r="N14" s="48">
        <v>5940167</v>
      </c>
      <c r="O14" s="48">
        <f>SUM(C14:N14)-1</f>
        <v>64709839</v>
      </c>
    </row>
    <row r="15" spans="1:15" ht="14.45" customHeight="1" x14ac:dyDescent="0.25">
      <c r="A15" s="358" t="s">
        <v>289</v>
      </c>
      <c r="B15" s="27">
        <v>56</v>
      </c>
      <c r="C15" s="48">
        <v>13415333</v>
      </c>
      <c r="D15" s="48">
        <v>12472532</v>
      </c>
      <c r="E15" s="48">
        <v>11853023</v>
      </c>
      <c r="F15" s="48">
        <v>9592196</v>
      </c>
      <c r="G15" s="48">
        <v>7487204</v>
      </c>
      <c r="H15" s="48">
        <v>6716741</v>
      </c>
      <c r="I15" s="48">
        <v>10765667</v>
      </c>
      <c r="J15" s="48">
        <v>13025315</v>
      </c>
      <c r="K15" s="48">
        <v>13777282</v>
      </c>
      <c r="L15" s="48">
        <v>12314866</v>
      </c>
      <c r="M15" s="48">
        <v>13451215</v>
      </c>
      <c r="N15" s="48">
        <v>12924716</v>
      </c>
      <c r="O15" s="48">
        <f>SUM(C15:N15)-1</f>
        <v>137796089</v>
      </c>
    </row>
    <row r="16" spans="1:15" ht="14.45" customHeight="1" x14ac:dyDescent="0.25">
      <c r="A16" s="358"/>
      <c r="B16" s="27">
        <v>88</v>
      </c>
      <c r="C16" s="48">
        <v>19712710</v>
      </c>
      <c r="D16" s="48">
        <v>15679566</v>
      </c>
      <c r="E16" s="48">
        <v>18035024</v>
      </c>
      <c r="F16" s="48">
        <v>17357084</v>
      </c>
      <c r="G16" s="48">
        <v>20007379</v>
      </c>
      <c r="H16" s="48">
        <v>21711137</v>
      </c>
      <c r="I16" s="48">
        <v>23729670</v>
      </c>
      <c r="J16" s="48">
        <v>25165002</v>
      </c>
      <c r="K16" s="48">
        <v>24598702</v>
      </c>
      <c r="L16" s="48">
        <v>23781849</v>
      </c>
      <c r="M16" s="48">
        <v>21293990</v>
      </c>
      <c r="N16" s="48">
        <v>17985918</v>
      </c>
      <c r="O16" s="48">
        <f t="shared" ref="O16" si="3">SUM(C16:N16)</f>
        <v>249058031</v>
      </c>
    </row>
    <row r="17" spans="1:15" ht="14.45" customHeight="1" x14ac:dyDescent="0.25">
      <c r="A17" s="354" t="s">
        <v>261</v>
      </c>
      <c r="B17" s="354"/>
      <c r="C17" s="51">
        <f>SUM(C13:C16)</f>
        <v>39338007</v>
      </c>
      <c r="D17" s="51">
        <f t="shared" ref="D17:O17" si="4">SUM(D13:D16)</f>
        <v>34073700</v>
      </c>
      <c r="E17" s="51">
        <f t="shared" si="4"/>
        <v>35606386</v>
      </c>
      <c r="F17" s="51">
        <f t="shared" si="4"/>
        <v>32189402</v>
      </c>
      <c r="G17" s="51">
        <f t="shared" si="4"/>
        <v>32103051</v>
      </c>
      <c r="H17" s="51">
        <f t="shared" si="4"/>
        <v>32080267</v>
      </c>
      <c r="I17" s="51">
        <f t="shared" si="4"/>
        <v>39899869</v>
      </c>
      <c r="J17" s="51">
        <f t="shared" si="4"/>
        <v>45063700</v>
      </c>
      <c r="K17" s="51">
        <f t="shared" si="4"/>
        <v>45084563</v>
      </c>
      <c r="L17" s="51">
        <f t="shared" si="4"/>
        <v>42261281</v>
      </c>
      <c r="M17" s="51">
        <f t="shared" si="4"/>
        <v>40993912</v>
      </c>
      <c r="N17" s="51">
        <f t="shared" si="4"/>
        <v>36874503</v>
      </c>
      <c r="O17" s="51">
        <f t="shared" si="4"/>
        <v>455568639</v>
      </c>
    </row>
    <row r="18" spans="1:15" ht="14.45" customHeight="1" x14ac:dyDescent="0.25">
      <c r="A18" s="17" t="s">
        <v>126</v>
      </c>
      <c r="B18" s="16"/>
      <c r="C18" s="56">
        <f>SUM(C10+C12+C17)-1</f>
        <v>40794345</v>
      </c>
      <c r="D18" s="56">
        <f t="shared" ref="D18:M18" si="5">SUM(D10+D12+D17)</f>
        <v>35396462</v>
      </c>
      <c r="E18" s="56">
        <f t="shared" si="5"/>
        <v>37036497</v>
      </c>
      <c r="F18" s="56">
        <f>SUM(F10+F12+F17)-1</f>
        <v>33572573</v>
      </c>
      <c r="G18" s="56">
        <f t="shared" si="5"/>
        <v>33658914</v>
      </c>
      <c r="H18" s="56">
        <f t="shared" si="5"/>
        <v>33640236</v>
      </c>
      <c r="I18" s="56">
        <f t="shared" si="5"/>
        <v>41558080</v>
      </c>
      <c r="J18" s="56">
        <f>SUM(J10+J12+J17)+1</f>
        <v>46783458</v>
      </c>
      <c r="K18" s="56">
        <f>SUM(K10+K12+K17)-1</f>
        <v>46678808</v>
      </c>
      <c r="L18" s="56">
        <f t="shared" si="5"/>
        <v>44003206</v>
      </c>
      <c r="M18" s="56">
        <f t="shared" si="5"/>
        <v>42551430</v>
      </c>
      <c r="N18" s="56">
        <f>SUM(N10+N12+N17)+1</f>
        <v>38560868</v>
      </c>
      <c r="O18" s="56">
        <f>SUM(O10+O12+O17)+1</f>
        <v>474234876</v>
      </c>
    </row>
    <row r="21" spans="1:15" ht="14.45" customHeight="1" x14ac:dyDescent="0.2">
      <c r="B21" s="225"/>
      <c r="C21" s="226">
        <v>43466</v>
      </c>
      <c r="D21" s="226">
        <v>43497</v>
      </c>
      <c r="E21" s="226">
        <v>43525</v>
      </c>
      <c r="F21" s="226">
        <v>43556</v>
      </c>
      <c r="G21" s="226">
        <v>43586</v>
      </c>
      <c r="H21" s="226">
        <v>43617</v>
      </c>
      <c r="I21" s="226">
        <v>43647</v>
      </c>
      <c r="J21" s="226">
        <v>43678</v>
      </c>
      <c r="K21" s="226">
        <v>43709</v>
      </c>
      <c r="L21" s="226">
        <v>43739</v>
      </c>
      <c r="M21" s="226">
        <v>43770</v>
      </c>
      <c r="N21" s="226">
        <v>43800</v>
      </c>
      <c r="O21" s="225"/>
    </row>
    <row r="22" spans="1:15" ht="14.45" customHeight="1" x14ac:dyDescent="0.2">
      <c r="B22" s="225" t="s">
        <v>503</v>
      </c>
      <c r="C22" s="227">
        <f>+C10+C12</f>
        <v>1456339</v>
      </c>
      <c r="D22" s="227">
        <f t="shared" ref="D22:N22" si="6">+D10+D12</f>
        <v>1322762</v>
      </c>
      <c r="E22" s="227">
        <f t="shared" si="6"/>
        <v>1430111</v>
      </c>
      <c r="F22" s="227">
        <f t="shared" si="6"/>
        <v>1383172</v>
      </c>
      <c r="G22" s="227">
        <f t="shared" si="6"/>
        <v>1555863</v>
      </c>
      <c r="H22" s="227">
        <f t="shared" si="6"/>
        <v>1559969</v>
      </c>
      <c r="I22" s="227">
        <f t="shared" si="6"/>
        <v>1658211</v>
      </c>
      <c r="J22" s="227">
        <f t="shared" si="6"/>
        <v>1719757</v>
      </c>
      <c r="K22" s="227">
        <f t="shared" si="6"/>
        <v>1594246</v>
      </c>
      <c r="L22" s="227">
        <f t="shared" si="6"/>
        <v>1741925</v>
      </c>
      <c r="M22" s="227">
        <f t="shared" si="6"/>
        <v>1557518</v>
      </c>
      <c r="N22" s="227">
        <f t="shared" si="6"/>
        <v>1686364</v>
      </c>
      <c r="O22" s="225"/>
    </row>
    <row r="23" spans="1:15" ht="14.45" customHeight="1" x14ac:dyDescent="0.2">
      <c r="B23" s="225" t="s">
        <v>504</v>
      </c>
      <c r="C23" s="227">
        <f>+C17</f>
        <v>39338007</v>
      </c>
      <c r="D23" s="227">
        <f t="shared" ref="D23:N23" si="7">+D17</f>
        <v>34073700</v>
      </c>
      <c r="E23" s="227">
        <f t="shared" si="7"/>
        <v>35606386</v>
      </c>
      <c r="F23" s="227">
        <f t="shared" si="7"/>
        <v>32189402</v>
      </c>
      <c r="G23" s="227">
        <f t="shared" si="7"/>
        <v>32103051</v>
      </c>
      <c r="H23" s="227">
        <f t="shared" si="7"/>
        <v>32080267</v>
      </c>
      <c r="I23" s="227">
        <f t="shared" si="7"/>
        <v>39899869</v>
      </c>
      <c r="J23" s="227">
        <f t="shared" si="7"/>
        <v>45063700</v>
      </c>
      <c r="K23" s="227">
        <f t="shared" si="7"/>
        <v>45084563</v>
      </c>
      <c r="L23" s="227">
        <f t="shared" si="7"/>
        <v>42261281</v>
      </c>
      <c r="M23" s="227">
        <f t="shared" si="7"/>
        <v>40993912</v>
      </c>
      <c r="N23" s="227">
        <f t="shared" si="7"/>
        <v>36874503</v>
      </c>
      <c r="O23" s="225"/>
    </row>
    <row r="24" spans="1:15" ht="14.45" customHeight="1" x14ac:dyDescent="0.2"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ht="14.45" customHeight="1" x14ac:dyDescent="0.2">
      <c r="B25" s="225" t="s">
        <v>287</v>
      </c>
      <c r="C25" s="227">
        <f>+C22+C23</f>
        <v>40794346</v>
      </c>
      <c r="D25" s="227">
        <f t="shared" ref="D25:N25" si="8">+D22+D23</f>
        <v>35396462</v>
      </c>
      <c r="E25" s="227">
        <f t="shared" si="8"/>
        <v>37036497</v>
      </c>
      <c r="F25" s="227">
        <f t="shared" si="8"/>
        <v>33572574</v>
      </c>
      <c r="G25" s="227">
        <f t="shared" si="8"/>
        <v>33658914</v>
      </c>
      <c r="H25" s="227">
        <f t="shared" si="8"/>
        <v>33640236</v>
      </c>
      <c r="I25" s="227">
        <f t="shared" si="8"/>
        <v>41558080</v>
      </c>
      <c r="J25" s="227">
        <f t="shared" si="8"/>
        <v>46783457</v>
      </c>
      <c r="K25" s="227">
        <f t="shared" si="8"/>
        <v>46678809</v>
      </c>
      <c r="L25" s="227">
        <f t="shared" si="8"/>
        <v>44003206</v>
      </c>
      <c r="M25" s="227">
        <f t="shared" si="8"/>
        <v>42551430</v>
      </c>
      <c r="N25" s="227">
        <f t="shared" si="8"/>
        <v>38560867</v>
      </c>
      <c r="O25" s="225"/>
    </row>
    <row r="26" spans="1:15" ht="14.45" customHeight="1" x14ac:dyDescent="0.2">
      <c r="B26" s="225" t="s">
        <v>505</v>
      </c>
      <c r="C26" s="227">
        <f>C25/1000</f>
        <v>40794.345999999998</v>
      </c>
      <c r="D26" s="227">
        <f t="shared" ref="D26:M26" si="9">D25/1000</f>
        <v>35396.462</v>
      </c>
      <c r="E26" s="227">
        <f t="shared" si="9"/>
        <v>37036.497000000003</v>
      </c>
      <c r="F26" s="227">
        <f t="shared" si="9"/>
        <v>33572.574000000001</v>
      </c>
      <c r="G26" s="227">
        <f t="shared" si="9"/>
        <v>33658.913999999997</v>
      </c>
      <c r="H26" s="227">
        <f t="shared" si="9"/>
        <v>33640.235999999997</v>
      </c>
      <c r="I26" s="227">
        <f t="shared" si="9"/>
        <v>41558.080000000002</v>
      </c>
      <c r="J26" s="227">
        <f t="shared" si="9"/>
        <v>46783.457000000002</v>
      </c>
      <c r="K26" s="227">
        <f t="shared" si="9"/>
        <v>46678.809000000001</v>
      </c>
      <c r="L26" s="227">
        <f t="shared" si="9"/>
        <v>44003.205999999998</v>
      </c>
      <c r="M26" s="227">
        <f t="shared" si="9"/>
        <v>42551.43</v>
      </c>
      <c r="N26" s="227">
        <f>N25/1000</f>
        <v>38560.866999999998</v>
      </c>
      <c r="O26" s="225"/>
    </row>
    <row r="27" spans="1:15" ht="14.45" customHeight="1" x14ac:dyDescent="0.2"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</row>
    <row r="28" spans="1:15" ht="14.45" customHeight="1" x14ac:dyDescent="0.2">
      <c r="B28" s="225" t="s">
        <v>503</v>
      </c>
      <c r="C28" s="227">
        <f>C22/1000</f>
        <v>1456.3389999999999</v>
      </c>
      <c r="D28" s="227">
        <f t="shared" ref="D28:N29" si="10">D22/1000</f>
        <v>1322.7619999999999</v>
      </c>
      <c r="E28" s="227">
        <f t="shared" si="10"/>
        <v>1430.1110000000001</v>
      </c>
      <c r="F28" s="227">
        <f t="shared" si="10"/>
        <v>1383.172</v>
      </c>
      <c r="G28" s="227">
        <f t="shared" si="10"/>
        <v>1555.8630000000001</v>
      </c>
      <c r="H28" s="227">
        <f t="shared" si="10"/>
        <v>1559.9690000000001</v>
      </c>
      <c r="I28" s="227">
        <f t="shared" si="10"/>
        <v>1658.211</v>
      </c>
      <c r="J28" s="227">
        <f t="shared" si="10"/>
        <v>1719.7570000000001</v>
      </c>
      <c r="K28" s="227">
        <f t="shared" si="10"/>
        <v>1594.2460000000001</v>
      </c>
      <c r="L28" s="227">
        <f t="shared" si="10"/>
        <v>1741.925</v>
      </c>
      <c r="M28" s="227">
        <f t="shared" si="10"/>
        <v>1557.518</v>
      </c>
      <c r="N28" s="227">
        <f t="shared" si="10"/>
        <v>1686.364</v>
      </c>
      <c r="O28" s="225"/>
    </row>
    <row r="29" spans="1:15" ht="14.45" customHeight="1" x14ac:dyDescent="0.2">
      <c r="B29" s="225" t="s">
        <v>504</v>
      </c>
      <c r="C29" s="227">
        <f>C23/1000</f>
        <v>39338.006999999998</v>
      </c>
      <c r="D29" s="227">
        <f t="shared" si="10"/>
        <v>34073.699999999997</v>
      </c>
      <c r="E29" s="227">
        <f t="shared" si="10"/>
        <v>35606.385999999999</v>
      </c>
      <c r="F29" s="227">
        <f t="shared" si="10"/>
        <v>32189.401999999998</v>
      </c>
      <c r="G29" s="227">
        <f t="shared" si="10"/>
        <v>32103.050999999999</v>
      </c>
      <c r="H29" s="227">
        <f t="shared" si="10"/>
        <v>32080.267</v>
      </c>
      <c r="I29" s="227">
        <f t="shared" si="10"/>
        <v>39899.868999999999</v>
      </c>
      <c r="J29" s="227">
        <f t="shared" si="10"/>
        <v>45063.7</v>
      </c>
      <c r="K29" s="227">
        <f t="shared" si="10"/>
        <v>45084.563000000002</v>
      </c>
      <c r="L29" s="227">
        <f t="shared" si="10"/>
        <v>42261.281000000003</v>
      </c>
      <c r="M29" s="227">
        <f t="shared" si="10"/>
        <v>40993.911999999997</v>
      </c>
      <c r="N29" s="227">
        <f t="shared" si="10"/>
        <v>36874.502999999997</v>
      </c>
      <c r="O29" s="225"/>
    </row>
    <row r="33" spans="3:3" ht="14.45" customHeight="1" x14ac:dyDescent="0.35">
      <c r="C33" s="230" t="s">
        <v>506</v>
      </c>
    </row>
  </sheetData>
  <mergeCells count="6">
    <mergeCell ref="A17:B17"/>
    <mergeCell ref="A1:O1"/>
    <mergeCell ref="A2:O2"/>
    <mergeCell ref="A10:B10"/>
    <mergeCell ref="A12:B12"/>
    <mergeCell ref="A15:A16"/>
  </mergeCells>
  <pageMargins left="0.7" right="0.7" top="0.75" bottom="0.75" header="0.3" footer="0.3"/>
  <pageSetup scale="43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2"/>
  <sheetViews>
    <sheetView topLeftCell="B1" workbookViewId="0">
      <selection activeCell="K17" sqref="K17"/>
    </sheetView>
  </sheetViews>
  <sheetFormatPr baseColWidth="10" defaultColWidth="9.42578125" defaultRowHeight="11.25" x14ac:dyDescent="0.25"/>
  <cols>
    <col min="1" max="1" width="17" style="70" customWidth="1"/>
    <col min="2" max="2" width="9.42578125" style="69"/>
    <col min="3" max="16384" width="9.42578125" style="68"/>
  </cols>
  <sheetData>
    <row r="1" spans="1:9" s="69" customFormat="1" ht="14.45" customHeight="1" x14ac:dyDescent="0.25">
      <c r="A1" s="369" t="s">
        <v>290</v>
      </c>
      <c r="B1" s="369"/>
      <c r="C1" s="369"/>
      <c r="D1" s="369"/>
      <c r="E1" s="369"/>
      <c r="F1" s="369"/>
      <c r="G1" s="369"/>
      <c r="H1" s="369"/>
      <c r="I1" s="369"/>
    </row>
    <row r="2" spans="1:9" s="69" customFormat="1" ht="14.45" customHeight="1" x14ac:dyDescent="0.25">
      <c r="A2" s="369" t="s">
        <v>414</v>
      </c>
      <c r="B2" s="369"/>
      <c r="C2" s="369"/>
      <c r="D2" s="369"/>
      <c r="E2" s="369"/>
      <c r="F2" s="369"/>
      <c r="G2" s="369"/>
      <c r="H2" s="369"/>
      <c r="I2" s="369"/>
    </row>
    <row r="3" spans="1:9" s="69" customFormat="1" ht="14.45" customHeight="1" x14ac:dyDescent="0.25">
      <c r="A3" s="17" t="s">
        <v>1</v>
      </c>
      <c r="B3" s="16" t="s">
        <v>2</v>
      </c>
      <c r="C3" s="16">
        <v>2013</v>
      </c>
      <c r="D3" s="16">
        <v>2014</v>
      </c>
      <c r="E3" s="16">
        <v>2015</v>
      </c>
      <c r="F3" s="16">
        <v>2016</v>
      </c>
      <c r="G3" s="16">
        <v>2017</v>
      </c>
      <c r="H3" s="16">
        <v>2018</v>
      </c>
      <c r="I3" s="87">
        <v>2019</v>
      </c>
    </row>
    <row r="4" spans="1:9" ht="14.45" customHeight="1" x14ac:dyDescent="0.25">
      <c r="A4" s="18" t="s">
        <v>45</v>
      </c>
      <c r="B4" s="27" t="s">
        <v>118</v>
      </c>
      <c r="C4" s="61">
        <v>2029.2</v>
      </c>
      <c r="D4" s="61">
        <v>2922.7</v>
      </c>
      <c r="E4" s="61">
        <v>3461.3</v>
      </c>
      <c r="F4" s="61">
        <v>3028.3</v>
      </c>
      <c r="G4" s="61">
        <v>2661.1</v>
      </c>
      <c r="H4" s="61">
        <v>2228.8000000000002</v>
      </c>
      <c r="I4" s="92">
        <f>+'11'!O4/1000</f>
        <v>1770.7429999999999</v>
      </c>
    </row>
    <row r="5" spans="1:9" ht="14.45" customHeight="1" x14ac:dyDescent="0.25">
      <c r="A5" s="18" t="s">
        <v>252</v>
      </c>
      <c r="B5" s="27" t="s">
        <v>138</v>
      </c>
      <c r="C5" s="2">
        <v>393.9</v>
      </c>
      <c r="D5" s="2">
        <v>643</v>
      </c>
      <c r="E5" s="2">
        <v>764.6</v>
      </c>
      <c r="F5" s="2">
        <v>856.3</v>
      </c>
      <c r="G5" s="2">
        <v>844.4</v>
      </c>
      <c r="H5" s="2">
        <v>886.8</v>
      </c>
      <c r="I5" s="130">
        <f>+'11'!O5/1000</f>
        <v>773.56</v>
      </c>
    </row>
    <row r="6" spans="1:9" ht="14.45" customHeight="1" x14ac:dyDescent="0.25">
      <c r="A6" s="90" t="s">
        <v>45</v>
      </c>
      <c r="B6" s="88" t="s">
        <v>46</v>
      </c>
      <c r="C6" s="89" t="s">
        <v>159</v>
      </c>
      <c r="D6" s="89" t="s">
        <v>159</v>
      </c>
      <c r="E6" s="89" t="s">
        <v>159</v>
      </c>
      <c r="F6" s="89" t="s">
        <v>159</v>
      </c>
      <c r="G6" s="89" t="s">
        <v>159</v>
      </c>
      <c r="H6" s="89" t="s">
        <v>159</v>
      </c>
      <c r="I6" s="130">
        <f>+'11'!O6/1000</f>
        <v>15.904999999999999</v>
      </c>
    </row>
    <row r="7" spans="1:9" ht="14.45" customHeight="1" x14ac:dyDescent="0.25">
      <c r="A7" s="18" t="s">
        <v>120</v>
      </c>
      <c r="B7" s="27" t="s">
        <v>151</v>
      </c>
      <c r="C7" s="130">
        <v>1029.4000000000001</v>
      </c>
      <c r="D7" s="130">
        <v>1028.7</v>
      </c>
      <c r="E7" s="130">
        <v>1127.3</v>
      </c>
      <c r="F7" s="130">
        <v>1156.7</v>
      </c>
      <c r="G7" s="130">
        <v>1055.8</v>
      </c>
      <c r="H7" s="130">
        <v>1055.5</v>
      </c>
      <c r="I7" s="130">
        <f>+'11'!O7/1000</f>
        <v>1254.9590000000001</v>
      </c>
    </row>
    <row r="8" spans="1:9" ht="14.45" customHeight="1" x14ac:dyDescent="0.25">
      <c r="A8" s="18" t="s">
        <v>25</v>
      </c>
      <c r="B8" s="27" t="s">
        <v>48</v>
      </c>
      <c r="C8" s="61">
        <v>2411.8000000000002</v>
      </c>
      <c r="D8" s="61">
        <v>4074.2</v>
      </c>
      <c r="E8" s="61">
        <v>4827.3</v>
      </c>
      <c r="F8" s="61">
        <v>5344.6</v>
      </c>
      <c r="G8" s="61">
        <v>5189.8</v>
      </c>
      <c r="H8" s="61">
        <v>5474.5</v>
      </c>
      <c r="I8" s="130">
        <f>+'11'!O8/1000</f>
        <v>5679.241</v>
      </c>
    </row>
    <row r="9" spans="1:9" ht="14.45" customHeight="1" x14ac:dyDescent="0.25">
      <c r="A9" s="18" t="s">
        <v>291</v>
      </c>
      <c r="B9" s="27" t="s">
        <v>8</v>
      </c>
      <c r="C9" s="61">
        <v>2223.1</v>
      </c>
      <c r="D9" s="61">
        <v>2678.9</v>
      </c>
      <c r="E9" s="61">
        <v>3880.9</v>
      </c>
      <c r="F9" s="61">
        <v>3749.5</v>
      </c>
      <c r="G9" s="61">
        <v>3588.1</v>
      </c>
      <c r="H9" s="61">
        <v>4594.3</v>
      </c>
      <c r="I9" s="130">
        <f>+'11'!O9/1000</f>
        <v>6342.9179999999997</v>
      </c>
    </row>
    <row r="10" spans="1:9" ht="14.45" customHeight="1" x14ac:dyDescent="0.25">
      <c r="A10" s="50" t="s">
        <v>255</v>
      </c>
      <c r="B10" s="37"/>
      <c r="C10" s="62">
        <v>8087.5</v>
      </c>
      <c r="D10" s="62">
        <v>11347.6</v>
      </c>
      <c r="E10" s="62">
        <v>14061.4</v>
      </c>
      <c r="F10" s="62">
        <v>14135.4</v>
      </c>
      <c r="G10" s="62">
        <v>13339.2</v>
      </c>
      <c r="H10" s="62">
        <v>14239.9</v>
      </c>
      <c r="I10" s="62">
        <f>SUM(I4:I9)</f>
        <v>15837.325999999999</v>
      </c>
    </row>
    <row r="11" spans="1:9" ht="14.45" customHeight="1" x14ac:dyDescent="0.25">
      <c r="A11" s="18" t="s">
        <v>61</v>
      </c>
      <c r="B11" s="27" t="s">
        <v>62</v>
      </c>
      <c r="C11" s="61">
        <v>1305.4000000000001</v>
      </c>
      <c r="D11" s="61">
        <v>2091.8000000000002</v>
      </c>
      <c r="E11" s="61">
        <v>2281.1</v>
      </c>
      <c r="F11" s="61">
        <v>2804.3</v>
      </c>
      <c r="G11" s="61">
        <v>2585</v>
      </c>
      <c r="H11" s="61">
        <v>2693.9</v>
      </c>
      <c r="I11" s="130">
        <f>+'11'!O11/1000</f>
        <v>2828.91</v>
      </c>
    </row>
    <row r="12" spans="1:9" ht="14.45" customHeight="1" x14ac:dyDescent="0.25">
      <c r="A12" s="50" t="s">
        <v>288</v>
      </c>
      <c r="B12" s="37"/>
      <c r="C12" s="62">
        <v>1305.4000000000001</v>
      </c>
      <c r="D12" s="62">
        <v>2091.8000000000002</v>
      </c>
      <c r="E12" s="62">
        <v>2281.1</v>
      </c>
      <c r="F12" s="62">
        <v>2804.3</v>
      </c>
      <c r="G12" s="62">
        <v>2585</v>
      </c>
      <c r="H12" s="62">
        <v>2693.9</v>
      </c>
      <c r="I12" s="62">
        <f>SUM(I11)</f>
        <v>2828.91</v>
      </c>
    </row>
    <row r="13" spans="1:9" ht="14.45" customHeight="1" x14ac:dyDescent="0.25">
      <c r="A13" s="18" t="s">
        <v>280</v>
      </c>
      <c r="B13" s="27" t="s">
        <v>281</v>
      </c>
      <c r="C13" s="61">
        <v>5333.3540000000003</v>
      </c>
      <c r="D13" s="61">
        <v>5298.5</v>
      </c>
      <c r="E13" s="61">
        <v>6141.6</v>
      </c>
      <c r="F13" s="61">
        <v>4599.6000000000004</v>
      </c>
      <c r="G13" s="61">
        <v>1585</v>
      </c>
      <c r="H13" s="61">
        <v>4538.3999999999996</v>
      </c>
      <c r="I13" s="130">
        <f>+'11'!O13/1000</f>
        <v>4004.68</v>
      </c>
    </row>
    <row r="14" spans="1:9" ht="14.45" customHeight="1" x14ac:dyDescent="0.25">
      <c r="A14" s="18" t="s">
        <v>29</v>
      </c>
      <c r="B14" s="27">
        <v>57</v>
      </c>
      <c r="C14" s="2" t="s">
        <v>159</v>
      </c>
      <c r="D14" s="61">
        <v>22611</v>
      </c>
      <c r="E14" s="61">
        <v>26776.400000000001</v>
      </c>
      <c r="F14" s="61">
        <v>49525.599999999999</v>
      </c>
      <c r="G14" s="61">
        <v>55007.199999999997</v>
      </c>
      <c r="H14" s="61">
        <v>60877.5</v>
      </c>
      <c r="I14" s="130">
        <f>+'11'!O14/1000</f>
        <v>64709.839</v>
      </c>
    </row>
    <row r="15" spans="1:9" ht="14.45" customHeight="1" x14ac:dyDescent="0.25">
      <c r="A15" s="358" t="s">
        <v>28</v>
      </c>
      <c r="B15" s="27">
        <v>56</v>
      </c>
      <c r="C15" s="61">
        <v>229823.41</v>
      </c>
      <c r="D15" s="61">
        <v>190569.9</v>
      </c>
      <c r="E15" s="61">
        <v>154238.39999999999</v>
      </c>
      <c r="F15" s="61">
        <v>164978</v>
      </c>
      <c r="G15" s="61">
        <v>151765.20000000001</v>
      </c>
      <c r="H15" s="61">
        <v>130059</v>
      </c>
      <c r="I15" s="130">
        <f>+'11'!O15/1000</f>
        <v>137796.08900000001</v>
      </c>
    </row>
    <row r="16" spans="1:9" ht="14.45" customHeight="1" x14ac:dyDescent="0.25">
      <c r="A16" s="358"/>
      <c r="B16" s="27">
        <v>88</v>
      </c>
      <c r="C16" s="48">
        <v>186009</v>
      </c>
      <c r="D16" s="61">
        <v>224488.3</v>
      </c>
      <c r="E16" s="61">
        <v>237744.7</v>
      </c>
      <c r="F16" s="61">
        <v>258388</v>
      </c>
      <c r="G16" s="61">
        <v>232768.6</v>
      </c>
      <c r="H16" s="61">
        <v>236835.4</v>
      </c>
      <c r="I16" s="130">
        <f>+'11'!O16/1000</f>
        <v>249058.03099999999</v>
      </c>
    </row>
    <row r="17" spans="1:13" ht="14.45" customHeight="1" x14ac:dyDescent="0.25">
      <c r="A17" s="50" t="s">
        <v>261</v>
      </c>
      <c r="B17" s="37"/>
      <c r="C17" s="62">
        <v>421166.3</v>
      </c>
      <c r="D17" s="62">
        <v>442967.6</v>
      </c>
      <c r="E17" s="62">
        <v>424901.2</v>
      </c>
      <c r="F17" s="62">
        <v>477491.20000000001</v>
      </c>
      <c r="G17" s="62">
        <v>441126</v>
      </c>
      <c r="H17" s="62">
        <v>432310.3</v>
      </c>
      <c r="I17" s="62">
        <f>SUM(I13:I16)</f>
        <v>455568.63899999997</v>
      </c>
    </row>
    <row r="18" spans="1:13" ht="14.45" customHeight="1" x14ac:dyDescent="0.25">
      <c r="A18" s="64" t="s">
        <v>126</v>
      </c>
      <c r="B18" s="65"/>
      <c r="C18" s="67">
        <v>430559.14</v>
      </c>
      <c r="D18" s="67">
        <v>456407</v>
      </c>
      <c r="E18" s="67">
        <v>441243.8</v>
      </c>
      <c r="F18" s="67">
        <v>494430.9</v>
      </c>
      <c r="G18" s="67">
        <v>457050.1</v>
      </c>
      <c r="H18" s="67">
        <v>449244.1</v>
      </c>
      <c r="I18" s="67">
        <f>SUM(I10+I12+I17)</f>
        <v>474234.87499999994</v>
      </c>
    </row>
    <row r="19" spans="1:13" ht="22.5" x14ac:dyDescent="0.25">
      <c r="A19" s="17" t="s">
        <v>292</v>
      </c>
      <c r="B19" s="16"/>
      <c r="C19" s="60">
        <v>1179.5999999999999</v>
      </c>
      <c r="D19" s="60">
        <v>1250.4000000000001</v>
      </c>
      <c r="E19" s="60">
        <v>1208.9000000000001</v>
      </c>
      <c r="F19" s="60">
        <v>1354.6</v>
      </c>
      <c r="G19" s="60">
        <v>1252.2</v>
      </c>
      <c r="H19" s="60">
        <v>1230.8</v>
      </c>
      <c r="I19" s="60">
        <f>I18/365</f>
        <v>1299.2736301369862</v>
      </c>
    </row>
    <row r="22" spans="1:13" ht="15.75" x14ac:dyDescent="0.25">
      <c r="B22" s="229" t="s">
        <v>507</v>
      </c>
    </row>
    <row r="28" spans="1:13" ht="12.75" x14ac:dyDescent="0.25">
      <c r="K28" s="232">
        <f>+I19/H19-1</f>
        <v>5.5633433650460029E-2</v>
      </c>
    </row>
    <row r="30" spans="1:13" x14ac:dyDescent="0.25">
      <c r="K30" s="411" t="s">
        <v>508</v>
      </c>
      <c r="L30" s="411"/>
      <c r="M30" s="411"/>
    </row>
    <row r="31" spans="1:13" x14ac:dyDescent="0.25">
      <c r="K31" s="411"/>
      <c r="L31" s="411"/>
      <c r="M31" s="411"/>
    </row>
    <row r="32" spans="1:13" x14ac:dyDescent="0.25">
      <c r="K32" s="411"/>
      <c r="L32" s="411"/>
      <c r="M32" s="411"/>
    </row>
    <row r="33" spans="2:13" x14ac:dyDescent="0.25">
      <c r="K33" s="411"/>
      <c r="L33" s="411"/>
      <c r="M33" s="411"/>
    </row>
    <row r="34" spans="2:13" x14ac:dyDescent="0.25">
      <c r="K34" s="411"/>
      <c r="L34" s="411"/>
      <c r="M34" s="411"/>
    </row>
    <row r="47" spans="2:13" ht="12.75" x14ac:dyDescent="0.25">
      <c r="B47" s="236" t="s">
        <v>510</v>
      </c>
    </row>
    <row r="48" spans="2:13" ht="12.75" x14ac:dyDescent="0.25">
      <c r="B48" s="236" t="s">
        <v>511</v>
      </c>
    </row>
    <row r="49" spans="1:6" x14ac:dyDescent="0.25">
      <c r="B49" s="70"/>
    </row>
    <row r="50" spans="1:6" ht="12.75" x14ac:dyDescent="0.2">
      <c r="A50" s="225"/>
      <c r="B50" s="233"/>
      <c r="C50" s="233">
        <v>2020</v>
      </c>
      <c r="D50" s="233">
        <v>2021</v>
      </c>
      <c r="E50" s="233">
        <v>2022</v>
      </c>
      <c r="F50" s="233">
        <v>2023</v>
      </c>
    </row>
    <row r="51" spans="1:6" ht="12.75" x14ac:dyDescent="0.2">
      <c r="A51" s="234" t="s">
        <v>509</v>
      </c>
      <c r="B51" s="235"/>
      <c r="C51" s="235">
        <v>1382.1969999999999</v>
      </c>
      <c r="D51" s="235">
        <v>1431.9079999999999</v>
      </c>
      <c r="E51" s="235">
        <v>1468.941</v>
      </c>
      <c r="F51" s="235">
        <v>1606.414</v>
      </c>
    </row>
    <row r="52" spans="1:6" ht="12.75" x14ac:dyDescent="0.2">
      <c r="A52" s="225"/>
      <c r="B52" s="225"/>
      <c r="C52" s="225"/>
      <c r="D52" s="225"/>
      <c r="E52" s="225"/>
      <c r="F52" s="225"/>
    </row>
  </sheetData>
  <mergeCells count="4">
    <mergeCell ref="A1:I1"/>
    <mergeCell ref="A2:I2"/>
    <mergeCell ref="A15:A16"/>
    <mergeCell ref="K30:M34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6"/>
  <sheetViews>
    <sheetView topLeftCell="D22" zoomScale="90" zoomScaleNormal="90" workbookViewId="0">
      <selection activeCell="A5" sqref="A5"/>
    </sheetView>
  </sheetViews>
  <sheetFormatPr baseColWidth="10" defaultColWidth="9.5703125" defaultRowHeight="14.45" customHeight="1" x14ac:dyDescent="0.25"/>
  <cols>
    <col min="1" max="1" width="32.7109375" style="20" customWidth="1"/>
    <col min="2" max="2" width="9.5703125" style="28"/>
    <col min="3" max="16384" width="9.5703125" style="15"/>
  </cols>
  <sheetData>
    <row r="1" spans="1:15" s="28" customFormat="1" ht="14.45" customHeight="1" x14ac:dyDescent="0.25">
      <c r="A1" s="369" t="s">
        <v>293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28" customFormat="1" ht="14.45" customHeight="1" x14ac:dyDescent="0.25">
      <c r="A2" s="369">
        <v>2019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1:15" s="28" customFormat="1" ht="14.45" customHeight="1" x14ac:dyDescent="0.25">
      <c r="A3" s="16"/>
      <c r="B3" s="16" t="s">
        <v>2</v>
      </c>
      <c r="C3" s="16" t="s">
        <v>294</v>
      </c>
      <c r="D3" s="16" t="s">
        <v>295</v>
      </c>
      <c r="E3" s="16" t="s">
        <v>296</v>
      </c>
      <c r="F3" s="16" t="s">
        <v>297</v>
      </c>
      <c r="G3" s="16" t="s">
        <v>298</v>
      </c>
      <c r="H3" s="16" t="s">
        <v>299</v>
      </c>
      <c r="I3" s="16" t="s">
        <v>300</v>
      </c>
      <c r="J3" s="16" t="s">
        <v>301</v>
      </c>
      <c r="K3" s="16" t="s">
        <v>302</v>
      </c>
      <c r="L3" s="16" t="s">
        <v>303</v>
      </c>
      <c r="M3" s="16" t="s">
        <v>304</v>
      </c>
      <c r="N3" s="16" t="s">
        <v>305</v>
      </c>
      <c r="O3" s="16" t="s">
        <v>287</v>
      </c>
    </row>
    <row r="4" spans="1:15" ht="14.45" customHeight="1" x14ac:dyDescent="0.25">
      <c r="A4" s="133" t="s">
        <v>306</v>
      </c>
      <c r="B4" s="134" t="s">
        <v>211</v>
      </c>
      <c r="C4" s="135">
        <v>6.2848370000000001E-2</v>
      </c>
      <c r="D4" s="135">
        <v>3.9959679999999997E-2</v>
      </c>
      <c r="E4" s="135">
        <v>3.7947970000000004E-2</v>
      </c>
      <c r="F4" s="135">
        <v>0.38107523999999998</v>
      </c>
      <c r="G4" s="135">
        <v>0.86643805000000007</v>
      </c>
      <c r="H4" s="135">
        <v>0.54873743000000008</v>
      </c>
      <c r="I4" s="135">
        <v>0.67842397999999993</v>
      </c>
      <c r="J4" s="135">
        <v>6.825937E-2</v>
      </c>
      <c r="K4" s="135">
        <v>0.50498511000000001</v>
      </c>
      <c r="L4" s="135">
        <v>0.11867778</v>
      </c>
      <c r="M4" s="135">
        <v>8.2548900000000008E-2</v>
      </c>
      <c r="N4" s="135">
        <v>0.43929396000000004</v>
      </c>
      <c r="O4" s="135">
        <f t="shared" ref="O4:O29" si="0">+SUM(C4:N4)</f>
        <v>3.8291958399999997</v>
      </c>
    </row>
    <row r="5" spans="1:15" ht="14.45" customHeight="1" x14ac:dyDescent="0.25">
      <c r="A5" s="141" t="s">
        <v>431</v>
      </c>
      <c r="B5" s="136" t="s">
        <v>37</v>
      </c>
      <c r="C5" s="137">
        <v>6.124363E-2</v>
      </c>
      <c r="D5" s="137">
        <v>0.11702639999999999</v>
      </c>
      <c r="E5" s="137">
        <v>0.10991605</v>
      </c>
      <c r="F5" s="137">
        <v>2.5164970000000002E-2</v>
      </c>
      <c r="G5" s="137">
        <v>5.2504500000000003E-2</v>
      </c>
      <c r="H5" s="137">
        <v>4.9845139999999996E-2</v>
      </c>
      <c r="I5" s="137">
        <v>3.9537559999999999E-2</v>
      </c>
      <c r="J5" s="137">
        <v>3.6007040000000004E-2</v>
      </c>
      <c r="K5" s="137">
        <v>3.0390340000000002E-2</v>
      </c>
      <c r="L5" s="137">
        <v>0.11471262</v>
      </c>
      <c r="M5" s="137">
        <v>8.5000000000000006E-5</v>
      </c>
      <c r="N5" s="137">
        <v>3.5633999999999997E-4</v>
      </c>
      <c r="O5" s="137">
        <f t="shared" si="0"/>
        <v>0.63678959000000002</v>
      </c>
    </row>
    <row r="6" spans="1:15" ht="14.45" customHeight="1" x14ac:dyDescent="0.25">
      <c r="A6" s="138" t="s">
        <v>308</v>
      </c>
      <c r="B6" s="139">
        <v>131</v>
      </c>
      <c r="C6" s="140">
        <v>0.50255099999999997</v>
      </c>
      <c r="D6" s="140">
        <v>0.70982599999999996</v>
      </c>
      <c r="E6" s="140">
        <v>0.138016</v>
      </c>
      <c r="F6" s="140">
        <v>0.12215375000000001</v>
      </c>
      <c r="G6" s="140">
        <v>1.5829008100000002</v>
      </c>
      <c r="H6" s="140">
        <v>-1.0978E-2</v>
      </c>
      <c r="I6" s="140">
        <v>1.4449440000000001E-2</v>
      </c>
      <c r="J6" s="140">
        <v>3.4433330000000005E-2</v>
      </c>
      <c r="K6" s="140">
        <v>9.2265659999999999E-2</v>
      </c>
      <c r="L6" s="140">
        <v>-2.5451810000000002E-2</v>
      </c>
      <c r="M6" s="140">
        <v>1.2047759999999999E-2</v>
      </c>
      <c r="N6" s="140">
        <v>0.20932118999999999</v>
      </c>
      <c r="O6" s="140">
        <f t="shared" si="0"/>
        <v>3.3815351300000001</v>
      </c>
    </row>
    <row r="7" spans="1:15" ht="14.45" customHeight="1" x14ac:dyDescent="0.25">
      <c r="A7" s="412" t="s">
        <v>309</v>
      </c>
      <c r="B7" s="142">
        <v>58</v>
      </c>
      <c r="C7" s="143">
        <v>0.53244674999999997</v>
      </c>
      <c r="D7" s="143">
        <v>0.40210516999999996</v>
      </c>
      <c r="E7" s="143">
        <v>0.51799413000000005</v>
      </c>
      <c r="F7" s="143">
        <v>0.72720901999999998</v>
      </c>
      <c r="G7" s="143">
        <v>0.83822732999999994</v>
      </c>
      <c r="H7" s="143">
        <v>0.51942502000000002</v>
      </c>
      <c r="I7" s="143">
        <v>0.81016186000000001</v>
      </c>
      <c r="J7" s="143">
        <v>0.70685746999999999</v>
      </c>
      <c r="K7" s="143">
        <v>0.86179497999999999</v>
      </c>
      <c r="L7" s="143">
        <v>0.48666693999999999</v>
      </c>
      <c r="M7" s="143">
        <v>0.68446200999999995</v>
      </c>
      <c r="N7" s="143">
        <v>1.58452467</v>
      </c>
      <c r="O7" s="143">
        <f t="shared" si="0"/>
        <v>8.6718753500000005</v>
      </c>
    </row>
    <row r="8" spans="1:15" ht="14.45" customHeight="1" x14ac:dyDescent="0.25">
      <c r="A8" s="412"/>
      <c r="B8" s="142" t="s">
        <v>48</v>
      </c>
      <c r="C8" s="143">
        <v>4.2202245500000002</v>
      </c>
      <c r="D8" s="143">
        <v>9.0699685199999998</v>
      </c>
      <c r="E8" s="143">
        <v>8.4352859099999993</v>
      </c>
      <c r="F8" s="143">
        <v>12.106139220000001</v>
      </c>
      <c r="G8" s="143">
        <v>10.852166859999999</v>
      </c>
      <c r="H8" s="143">
        <v>8.9787124399999989</v>
      </c>
      <c r="I8" s="143">
        <v>11.50173659</v>
      </c>
      <c r="J8" s="143">
        <v>6.3613914400000002</v>
      </c>
      <c r="K8" s="143">
        <v>8.4204770799999995</v>
      </c>
      <c r="L8" s="143">
        <v>14.924183789999999</v>
      </c>
      <c r="M8" s="143">
        <v>8.1791431600000006</v>
      </c>
      <c r="N8" s="143">
        <v>11.59280923</v>
      </c>
      <c r="O8" s="143">
        <f t="shared" si="0"/>
        <v>114.64223879000001</v>
      </c>
    </row>
    <row r="9" spans="1:15" s="127" customFormat="1" ht="14.45" customHeight="1" x14ac:dyDescent="0.25">
      <c r="A9" s="138" t="s">
        <v>310</v>
      </c>
      <c r="B9" s="139">
        <v>192</v>
      </c>
      <c r="C9" s="140" t="s">
        <v>307</v>
      </c>
      <c r="D9" s="140" t="s">
        <v>307</v>
      </c>
      <c r="E9" s="140" t="s">
        <v>307</v>
      </c>
      <c r="F9" s="140" t="s">
        <v>307</v>
      </c>
      <c r="G9" s="140" t="s">
        <v>307</v>
      </c>
      <c r="H9" s="140" t="s">
        <v>307</v>
      </c>
      <c r="I9" s="140" t="s">
        <v>307</v>
      </c>
      <c r="J9" s="140" t="s">
        <v>307</v>
      </c>
      <c r="K9" s="140" t="s">
        <v>307</v>
      </c>
      <c r="L9" s="140" t="s">
        <v>307</v>
      </c>
      <c r="M9" s="140" t="s">
        <v>307</v>
      </c>
      <c r="N9" s="140" t="s">
        <v>307</v>
      </c>
      <c r="O9" s="140">
        <f t="shared" si="0"/>
        <v>0</v>
      </c>
    </row>
    <row r="10" spans="1:15" ht="14.45" customHeight="1" x14ac:dyDescent="0.25">
      <c r="A10" s="141" t="s">
        <v>311</v>
      </c>
      <c r="B10" s="142">
        <v>100</v>
      </c>
      <c r="C10" s="143" t="s">
        <v>307</v>
      </c>
      <c r="D10" s="143" t="s">
        <v>307</v>
      </c>
      <c r="E10" s="143" t="s">
        <v>307</v>
      </c>
      <c r="F10" s="143" t="s">
        <v>307</v>
      </c>
      <c r="G10" s="143" t="s">
        <v>307</v>
      </c>
      <c r="H10" s="143" t="s">
        <v>307</v>
      </c>
      <c r="I10" s="143" t="s">
        <v>307</v>
      </c>
      <c r="J10" s="143" t="s">
        <v>307</v>
      </c>
      <c r="K10" s="143" t="s">
        <v>307</v>
      </c>
      <c r="L10" s="143" t="s">
        <v>307</v>
      </c>
      <c r="M10" s="143" t="s">
        <v>307</v>
      </c>
      <c r="N10" s="143" t="s">
        <v>307</v>
      </c>
      <c r="O10" s="143">
        <f t="shared" si="0"/>
        <v>0</v>
      </c>
    </row>
    <row r="11" spans="1:15" s="127" customFormat="1" ht="18" customHeight="1" x14ac:dyDescent="0.25">
      <c r="A11" s="138" t="s">
        <v>312</v>
      </c>
      <c r="B11" s="139" t="s">
        <v>58</v>
      </c>
      <c r="C11" s="140">
        <v>3.2484699999999998E-3</v>
      </c>
      <c r="D11" s="140">
        <v>2.76538E-3</v>
      </c>
      <c r="E11" s="140">
        <v>7.1777100000000003E-3</v>
      </c>
      <c r="F11" s="140">
        <v>5.51236E-3</v>
      </c>
      <c r="G11" s="140">
        <v>4.2801699999999998E-3</v>
      </c>
      <c r="H11" s="140">
        <v>7.4772399999999996E-3</v>
      </c>
      <c r="I11" s="140">
        <v>5.9563799999999998E-3</v>
      </c>
      <c r="J11" s="140">
        <v>5.3600200000000001E-3</v>
      </c>
      <c r="K11" s="140">
        <v>1.1168579999999999E-2</v>
      </c>
      <c r="L11" s="140">
        <v>4.8351800000000006E-3</v>
      </c>
      <c r="M11" s="140">
        <v>5.9712400000000001E-3</v>
      </c>
      <c r="N11" s="140">
        <v>0</v>
      </c>
      <c r="O11" s="140">
        <f t="shared" si="0"/>
        <v>6.3752729999999994E-2</v>
      </c>
    </row>
    <row r="12" spans="1:15" ht="14.45" customHeight="1" x14ac:dyDescent="0.25">
      <c r="A12" s="412" t="s">
        <v>313</v>
      </c>
      <c r="B12" s="142" t="s">
        <v>118</v>
      </c>
      <c r="C12" s="143">
        <v>9.993197999999999E-2</v>
      </c>
      <c r="D12" s="143">
        <v>9.6235827499999996E-2</v>
      </c>
      <c r="E12" s="143">
        <v>6.6043899999999989E-2</v>
      </c>
      <c r="F12" s="143">
        <v>3.3263550000000003E-2</v>
      </c>
      <c r="G12" s="143">
        <v>0.13150275</v>
      </c>
      <c r="H12" s="143">
        <v>9.9854730000000003E-2</v>
      </c>
      <c r="I12" s="143">
        <v>0.15702458</v>
      </c>
      <c r="J12" s="143">
        <v>5.1233319999999999E-2</v>
      </c>
      <c r="K12" s="143">
        <v>2.7047680000000001E-2</v>
      </c>
      <c r="L12" s="143">
        <v>0.34935289000000003</v>
      </c>
      <c r="M12" s="143">
        <v>-2.935507E-2</v>
      </c>
      <c r="N12" s="143">
        <v>2.8593303799999998</v>
      </c>
      <c r="O12" s="143">
        <f t="shared" si="0"/>
        <v>3.9414665174999999</v>
      </c>
    </row>
    <row r="13" spans="1:15" s="127" customFormat="1" ht="14.45" customHeight="1" x14ac:dyDescent="0.25">
      <c r="A13" s="412"/>
      <c r="B13" s="142" t="s">
        <v>47</v>
      </c>
      <c r="C13" s="143">
        <v>5.9855736100000001E-2</v>
      </c>
      <c r="D13" s="143">
        <v>0.23528643870000004</v>
      </c>
      <c r="E13" s="143">
        <v>4.4694379999999999E-2</v>
      </c>
      <c r="F13" s="143">
        <v>3.535725E-2</v>
      </c>
      <c r="G13" s="143">
        <v>0.28888273999999997</v>
      </c>
      <c r="H13" s="143">
        <v>8.5065490000000007E-2</v>
      </c>
      <c r="I13" s="143">
        <v>0.20570827</v>
      </c>
      <c r="J13" s="143">
        <v>0.18660210999999999</v>
      </c>
      <c r="K13" s="143">
        <v>0.65540956000000006</v>
      </c>
      <c r="L13" s="143">
        <v>1.04946345</v>
      </c>
      <c r="M13" s="143">
        <v>0.78402908999999998</v>
      </c>
      <c r="N13" s="143">
        <v>1.5581037200000001</v>
      </c>
      <c r="O13" s="143">
        <f t="shared" si="0"/>
        <v>5.1884582347999997</v>
      </c>
    </row>
    <row r="14" spans="1:15" ht="14.45" customHeight="1" x14ac:dyDescent="0.25">
      <c r="A14" s="412"/>
      <c r="B14" s="142" t="s">
        <v>46</v>
      </c>
      <c r="C14" s="143">
        <v>1.77721</v>
      </c>
      <c r="D14" s="143">
        <v>3.4591243842999999</v>
      </c>
      <c r="E14" s="143">
        <v>3.7721605400000002</v>
      </c>
      <c r="F14" s="143">
        <v>5.2496034600000003</v>
      </c>
      <c r="G14" s="143">
        <v>5.5363960800000003</v>
      </c>
      <c r="H14" s="143">
        <v>2.9945472</v>
      </c>
      <c r="I14" s="143">
        <v>3.9147348900000001</v>
      </c>
      <c r="J14" s="143">
        <v>1.00750994</v>
      </c>
      <c r="K14" s="143">
        <v>0.51034217999999998</v>
      </c>
      <c r="L14" s="143">
        <v>0.34173490000000001</v>
      </c>
      <c r="M14" s="143">
        <v>0.61232833999999992</v>
      </c>
      <c r="N14" s="143">
        <v>1.90803327</v>
      </c>
      <c r="O14" s="143">
        <f t="shared" si="0"/>
        <v>31.083725184299997</v>
      </c>
    </row>
    <row r="15" spans="1:15" s="127" customFormat="1" ht="14.45" customHeight="1" x14ac:dyDescent="0.25">
      <c r="A15" s="138" t="s">
        <v>314</v>
      </c>
      <c r="B15" s="139">
        <v>64</v>
      </c>
      <c r="C15" s="140">
        <v>0.22660254999999999</v>
      </c>
      <c r="D15" s="140">
        <v>0.43485190999999995</v>
      </c>
      <c r="E15" s="140">
        <v>0.33377633000000001</v>
      </c>
      <c r="F15" s="140">
        <v>0.37020653999999997</v>
      </c>
      <c r="G15" s="140">
        <v>0.75948234999999997</v>
      </c>
      <c r="H15" s="140">
        <v>0.38373003999999999</v>
      </c>
      <c r="I15" s="140">
        <v>0.40284038999999999</v>
      </c>
      <c r="J15" s="140">
        <v>0.29885070000000002</v>
      </c>
      <c r="K15" s="140">
        <v>0.40869053999999999</v>
      </c>
      <c r="L15" s="140">
        <v>0.7652054399999999</v>
      </c>
      <c r="M15" s="140">
        <v>0.32838660999999997</v>
      </c>
      <c r="N15" s="140">
        <v>0.29678512000000001</v>
      </c>
      <c r="O15" s="140">
        <f t="shared" si="0"/>
        <v>5.0094085199999991</v>
      </c>
    </row>
    <row r="16" spans="1:15" ht="14.45" customHeight="1" x14ac:dyDescent="0.25">
      <c r="A16" s="141" t="s">
        <v>315</v>
      </c>
      <c r="B16" s="142" t="s">
        <v>4</v>
      </c>
      <c r="C16" s="143">
        <v>1.9897000000000001E-2</v>
      </c>
      <c r="D16" s="143">
        <v>1.2843749999999999E-2</v>
      </c>
      <c r="E16" s="143">
        <v>1.434101E-2</v>
      </c>
      <c r="F16" s="143">
        <v>1.6022390000000004E-2</v>
      </c>
      <c r="G16" s="143">
        <v>1.106474E-2</v>
      </c>
      <c r="H16" s="143">
        <v>1.2026370000000002E-2</v>
      </c>
      <c r="I16" s="143">
        <v>1.285101E-2</v>
      </c>
      <c r="J16" s="143">
        <v>1.366033E-2</v>
      </c>
      <c r="K16" s="143">
        <v>1.391542E-2</v>
      </c>
      <c r="L16" s="143">
        <v>-6.671262E-2</v>
      </c>
      <c r="M16" s="143">
        <v>2.755732E-2</v>
      </c>
      <c r="N16" s="143">
        <v>-5.0424700000000003E-3</v>
      </c>
      <c r="O16" s="143">
        <f t="shared" si="0"/>
        <v>8.2424250000000004E-2</v>
      </c>
    </row>
    <row r="17" spans="1:15" s="127" customFormat="1" ht="14.45" customHeight="1" x14ac:dyDescent="0.25">
      <c r="A17" s="138" t="s">
        <v>316</v>
      </c>
      <c r="B17" s="139">
        <v>95</v>
      </c>
      <c r="C17" s="140">
        <v>0.91764800000000002</v>
      </c>
      <c r="D17" s="140">
        <v>2.4043425699999998</v>
      </c>
      <c r="E17" s="140">
        <v>5.7988775099999996</v>
      </c>
      <c r="F17" s="140">
        <v>6.9369435999999993</v>
      </c>
      <c r="G17" s="140">
        <v>10.086129830000001</v>
      </c>
      <c r="H17" s="140">
        <v>7.7435420700000002</v>
      </c>
      <c r="I17" s="140">
        <v>10.246925060000001</v>
      </c>
      <c r="J17" s="140">
        <v>8.0693297199999989</v>
      </c>
      <c r="K17" s="140">
        <v>8.8606232699999996</v>
      </c>
      <c r="L17" s="140">
        <v>8.3694664099999994</v>
      </c>
      <c r="M17" s="140">
        <v>9.2985367100000005</v>
      </c>
      <c r="N17" s="140">
        <v>9.4428451099999986</v>
      </c>
      <c r="O17" s="140">
        <f t="shared" si="0"/>
        <v>88.175209859999981</v>
      </c>
    </row>
    <row r="18" spans="1:15" ht="22.5" x14ac:dyDescent="0.25">
      <c r="A18" s="141" t="s">
        <v>317</v>
      </c>
      <c r="B18" s="142">
        <v>67</v>
      </c>
      <c r="C18" s="143" t="s">
        <v>307</v>
      </c>
      <c r="D18" s="143" t="s">
        <v>307</v>
      </c>
      <c r="E18" s="143" t="s">
        <v>307</v>
      </c>
      <c r="F18" s="143" t="s">
        <v>307</v>
      </c>
      <c r="G18" s="143" t="s">
        <v>307</v>
      </c>
      <c r="H18" s="143" t="s">
        <v>307</v>
      </c>
      <c r="I18" s="143" t="s">
        <v>307</v>
      </c>
      <c r="J18" s="143" t="s">
        <v>307</v>
      </c>
      <c r="K18" s="143" t="s">
        <v>307</v>
      </c>
      <c r="L18" s="143" t="s">
        <v>307</v>
      </c>
      <c r="M18" s="143" t="s">
        <v>307</v>
      </c>
      <c r="N18" s="143" t="s">
        <v>307</v>
      </c>
      <c r="O18" s="143">
        <f t="shared" si="0"/>
        <v>0</v>
      </c>
    </row>
    <row r="19" spans="1:15" s="127" customFormat="1" ht="14.45" customHeight="1" x14ac:dyDescent="0.25">
      <c r="A19" s="138" t="s">
        <v>318</v>
      </c>
      <c r="B19" s="139" t="s">
        <v>119</v>
      </c>
      <c r="C19" s="140">
        <v>0</v>
      </c>
      <c r="D19" s="140">
        <v>0</v>
      </c>
      <c r="E19" s="140">
        <v>0</v>
      </c>
      <c r="F19" s="140">
        <v>5.5034599999999999E-3</v>
      </c>
      <c r="G19" s="140">
        <v>7.1143000000000005E-3</v>
      </c>
      <c r="H19" s="140">
        <v>0</v>
      </c>
      <c r="I19" s="140">
        <v>9.7441100000000003E-3</v>
      </c>
      <c r="J19" s="140">
        <v>0</v>
      </c>
      <c r="K19" s="140">
        <v>0</v>
      </c>
      <c r="L19" s="140">
        <v>0</v>
      </c>
      <c r="M19" s="140">
        <v>2.614228E-2</v>
      </c>
      <c r="N19" s="140">
        <v>1.0099570099999999</v>
      </c>
      <c r="O19" s="140">
        <v>1.05846116</v>
      </c>
    </row>
    <row r="20" spans="1:15" ht="22.5" x14ac:dyDescent="0.25">
      <c r="A20" s="141" t="s">
        <v>319</v>
      </c>
      <c r="B20" s="142" t="s">
        <v>65</v>
      </c>
      <c r="C20" s="143">
        <v>0.44571499999999997</v>
      </c>
      <c r="D20" s="143">
        <v>0.33260499999999998</v>
      </c>
      <c r="E20" s="143">
        <v>0.42089300000000002</v>
      </c>
      <c r="F20" s="143">
        <v>0.49810334000000001</v>
      </c>
      <c r="G20" s="143">
        <v>0.50264726999999998</v>
      </c>
      <c r="H20" s="143">
        <v>0.62066908999999992</v>
      </c>
      <c r="I20" s="143">
        <v>0.61013700000000004</v>
      </c>
      <c r="J20" s="143">
        <v>0.77759104000000001</v>
      </c>
      <c r="K20" s="143">
        <v>0.64095902000000005</v>
      </c>
      <c r="L20" s="143">
        <v>0.85688761000000002</v>
      </c>
      <c r="M20" s="143">
        <v>3.4373144600000001</v>
      </c>
      <c r="N20" s="143">
        <v>15.42995</v>
      </c>
      <c r="O20" s="143">
        <f t="shared" si="0"/>
        <v>24.573471830000003</v>
      </c>
    </row>
    <row r="21" spans="1:15" s="127" customFormat="1" ht="14.45" customHeight="1" x14ac:dyDescent="0.25">
      <c r="A21" s="145" t="s">
        <v>320</v>
      </c>
      <c r="B21" s="139" t="s">
        <v>322</v>
      </c>
      <c r="C21" s="140" t="s">
        <v>307</v>
      </c>
      <c r="D21" s="140" t="s">
        <v>307</v>
      </c>
      <c r="E21" s="140" t="s">
        <v>307</v>
      </c>
      <c r="F21" s="140" t="s">
        <v>307</v>
      </c>
      <c r="G21" s="140" t="s">
        <v>307</v>
      </c>
      <c r="H21" s="140" t="s">
        <v>307</v>
      </c>
      <c r="I21" s="140" t="s">
        <v>307</v>
      </c>
      <c r="J21" s="140" t="s">
        <v>307</v>
      </c>
      <c r="K21" s="140" t="s">
        <v>307</v>
      </c>
      <c r="L21" s="140" t="s">
        <v>307</v>
      </c>
      <c r="M21" s="140" t="s">
        <v>307</v>
      </c>
      <c r="N21" s="140" t="s">
        <v>307</v>
      </c>
      <c r="O21" s="140">
        <f t="shared" si="0"/>
        <v>0</v>
      </c>
    </row>
    <row r="22" spans="1:15" ht="22.5" x14ac:dyDescent="0.25">
      <c r="A22" s="141" t="s">
        <v>323</v>
      </c>
      <c r="B22" s="142" t="s">
        <v>8</v>
      </c>
      <c r="C22" s="143">
        <v>3.3673108700000003</v>
      </c>
      <c r="D22" s="143">
        <v>2.8090627400000003</v>
      </c>
      <c r="E22" s="143">
        <v>2.5062534100000002</v>
      </c>
      <c r="F22" s="143">
        <v>4.0867600099999999</v>
      </c>
      <c r="G22" s="143">
        <v>2.3265364500000003</v>
      </c>
      <c r="H22" s="143">
        <v>2.1896127400000003</v>
      </c>
      <c r="I22" s="143">
        <v>2.1376844799999999</v>
      </c>
      <c r="J22" s="143">
        <v>1.3693436299999999</v>
      </c>
      <c r="K22" s="143">
        <v>0.68480346999999997</v>
      </c>
      <c r="L22" s="143">
        <v>0.73442305000000008</v>
      </c>
      <c r="M22" s="143">
        <v>0.98070690000000005</v>
      </c>
      <c r="N22" s="143">
        <v>2.2161279999999999</v>
      </c>
      <c r="O22" s="143">
        <f t="shared" si="0"/>
        <v>25.408625750000002</v>
      </c>
    </row>
    <row r="23" spans="1:15" s="127" customFormat="1" ht="14.45" customHeight="1" x14ac:dyDescent="0.25">
      <c r="A23" s="138" t="s">
        <v>324</v>
      </c>
      <c r="B23" s="139">
        <v>116</v>
      </c>
      <c r="C23" s="140">
        <v>4.1269999999999996E-3</v>
      </c>
      <c r="D23" s="140">
        <v>6.1330000000000004E-3</v>
      </c>
      <c r="E23" s="140">
        <v>0.15248</v>
      </c>
      <c r="F23" s="140">
        <v>4.261E-3</v>
      </c>
      <c r="G23" s="140">
        <v>1.8030000000000001E-2</v>
      </c>
      <c r="H23" s="140">
        <v>0.66391792000000005</v>
      </c>
      <c r="I23" s="140">
        <v>1.0973725600000002</v>
      </c>
      <c r="J23" s="140">
        <v>1.4627833799999999</v>
      </c>
      <c r="K23" s="140">
        <v>0.91441311000000003</v>
      </c>
      <c r="L23" s="140">
        <v>0.89290741000000007</v>
      </c>
      <c r="M23" s="140">
        <v>1.267128E-2</v>
      </c>
      <c r="N23" s="140">
        <v>0.29176184000000005</v>
      </c>
      <c r="O23" s="140">
        <f t="shared" si="0"/>
        <v>5.520858500000001</v>
      </c>
    </row>
    <row r="24" spans="1:15" ht="14.45" customHeight="1" x14ac:dyDescent="0.25">
      <c r="A24" s="412" t="s">
        <v>325</v>
      </c>
      <c r="B24" s="142" t="s">
        <v>123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f t="shared" si="0"/>
        <v>0</v>
      </c>
    </row>
    <row r="25" spans="1:15" s="127" customFormat="1" ht="14.45" customHeight="1" x14ac:dyDescent="0.25">
      <c r="A25" s="412"/>
      <c r="B25" s="142" t="s">
        <v>175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2.1173650000000002E-2</v>
      </c>
      <c r="J25" s="143">
        <v>5.6083800000000005E-3</v>
      </c>
      <c r="K25" s="143">
        <v>0</v>
      </c>
      <c r="L25" s="143">
        <v>0</v>
      </c>
      <c r="M25" s="143">
        <v>0</v>
      </c>
      <c r="N25" s="143">
        <v>0</v>
      </c>
      <c r="O25" s="143">
        <f t="shared" si="0"/>
        <v>2.6782030000000002E-2</v>
      </c>
    </row>
    <row r="26" spans="1:15" s="127" customFormat="1" ht="22.5" x14ac:dyDescent="0.25">
      <c r="A26" s="138" t="s">
        <v>317</v>
      </c>
      <c r="B26" s="139">
        <v>39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f t="shared" si="0"/>
        <v>0</v>
      </c>
    </row>
    <row r="27" spans="1:15" s="127" customFormat="1" ht="22.5" x14ac:dyDescent="0.25">
      <c r="A27" s="141" t="s">
        <v>326</v>
      </c>
      <c r="B27" s="142" t="s">
        <v>56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f t="shared" si="0"/>
        <v>0</v>
      </c>
    </row>
    <row r="28" spans="1:15" s="127" customFormat="1" ht="14.45" customHeight="1" x14ac:dyDescent="0.25">
      <c r="A28" s="138" t="s">
        <v>327</v>
      </c>
      <c r="B28" s="139" t="s">
        <v>138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1.7721130000000002E-2</v>
      </c>
      <c r="I28" s="140">
        <v>3.8867260000000001E-2</v>
      </c>
      <c r="J28" s="140">
        <v>6.7029999999999998E-3</v>
      </c>
      <c r="K28" s="140">
        <v>0</v>
      </c>
      <c r="L28" s="140">
        <v>0</v>
      </c>
      <c r="M28" s="140">
        <v>0</v>
      </c>
      <c r="N28" s="140">
        <v>2.2076000000000001E-3</v>
      </c>
      <c r="O28" s="140">
        <f t="shared" si="0"/>
        <v>6.5498990000000007E-2</v>
      </c>
    </row>
    <row r="29" spans="1:15" s="127" customFormat="1" ht="14.45" customHeight="1" x14ac:dyDescent="0.25">
      <c r="A29" s="415" t="s">
        <v>328</v>
      </c>
      <c r="B29" s="142">
        <v>107</v>
      </c>
      <c r="C29" s="143">
        <v>0.127805</v>
      </c>
      <c r="D29" s="143">
        <v>4.9975019999999995E-2</v>
      </c>
      <c r="E29" s="143">
        <v>5.5575859999999998E-2</v>
      </c>
      <c r="F29" s="143">
        <v>4.7960089999999997E-2</v>
      </c>
      <c r="G29" s="143">
        <v>2.7217450000000001E-2</v>
      </c>
      <c r="H29" s="143">
        <v>2.1510650000000003E-2</v>
      </c>
      <c r="I29" s="143">
        <v>3.6966890000000002E-2</v>
      </c>
      <c r="J29" s="143">
        <v>1.9594500000000001E-2</v>
      </c>
      <c r="K29" s="143">
        <v>2.244196E-2</v>
      </c>
      <c r="L29" s="143">
        <v>2.7948630000000002E-2</v>
      </c>
      <c r="M29" s="143">
        <v>4.0848059999999999E-2</v>
      </c>
      <c r="N29" s="143">
        <v>4.6544000000000002E-2</v>
      </c>
      <c r="O29" s="143">
        <f t="shared" si="0"/>
        <v>0.52438810999999996</v>
      </c>
    </row>
    <row r="30" spans="1:15" ht="22.9" customHeight="1" x14ac:dyDescent="0.25">
      <c r="A30" s="415"/>
      <c r="B30" s="142">
        <v>133</v>
      </c>
      <c r="C30" s="143">
        <v>5.3844999999999997E-2</v>
      </c>
      <c r="D30" s="143">
        <v>4.9102E-3</v>
      </c>
      <c r="E30" s="143">
        <v>4.1062900000000003E-3</v>
      </c>
      <c r="F30" s="143">
        <v>2.2778099999999999E-3</v>
      </c>
      <c r="G30" s="143">
        <v>4.48812E-3</v>
      </c>
      <c r="H30" s="143">
        <v>2.0929E-3</v>
      </c>
      <c r="I30" s="143">
        <v>1.5106400000000002E-3</v>
      </c>
      <c r="J30" s="143">
        <v>0.21385862</v>
      </c>
      <c r="K30" s="143">
        <v>0</v>
      </c>
      <c r="L30" s="143">
        <v>0</v>
      </c>
      <c r="M30" s="143">
        <v>0</v>
      </c>
      <c r="N30" s="143">
        <v>0</v>
      </c>
      <c r="O30" s="143">
        <f>+SUM(C30:N30)</f>
        <v>0.28708957999999996</v>
      </c>
    </row>
    <row r="31" spans="1:15" s="127" customFormat="1" ht="14.45" customHeight="1" x14ac:dyDescent="0.25">
      <c r="A31" s="138" t="s">
        <v>329</v>
      </c>
      <c r="B31" s="139">
        <v>108</v>
      </c>
      <c r="C31" s="140">
        <v>3.2203622099999998</v>
      </c>
      <c r="D31" s="140">
        <v>4.23943855</v>
      </c>
      <c r="E31" s="140">
        <v>4.9205048899999992</v>
      </c>
      <c r="F31" s="140">
        <v>2.3008728899999999</v>
      </c>
      <c r="G31" s="140">
        <v>1.2713465700000002</v>
      </c>
      <c r="H31" s="140">
        <v>4.1654400000000001E-2</v>
      </c>
      <c r="I31" s="140">
        <v>6.6268469999999996E-2</v>
      </c>
      <c r="J31" s="140">
        <v>3.354573000000001E-2</v>
      </c>
      <c r="K31" s="140">
        <v>0.21766920000000001</v>
      </c>
      <c r="L31" s="140">
        <v>0.52868503</v>
      </c>
      <c r="M31" s="140">
        <v>1.99786552</v>
      </c>
      <c r="N31" s="140">
        <v>0.65870214999999999</v>
      </c>
      <c r="O31" s="140">
        <f t="shared" ref="O31:O45" si="1">+SUM(C31:N31)</f>
        <v>19.496915610000002</v>
      </c>
    </row>
    <row r="32" spans="1:15" ht="14.45" customHeight="1" x14ac:dyDescent="0.25">
      <c r="A32" s="141" t="s">
        <v>330</v>
      </c>
      <c r="B32" s="142">
        <v>8</v>
      </c>
      <c r="C32" s="143">
        <v>0.20854610000000001</v>
      </c>
      <c r="D32" s="143">
        <v>0.66732980000000008</v>
      </c>
      <c r="E32" s="143">
        <v>0.74220501000000005</v>
      </c>
      <c r="F32" s="143">
        <v>2.15034481</v>
      </c>
      <c r="G32" s="143">
        <v>1.20732803</v>
      </c>
      <c r="H32" s="143">
        <v>2.1043405399999999</v>
      </c>
      <c r="I32" s="143">
        <v>1.0271897700000001</v>
      </c>
      <c r="J32" s="143">
        <v>1.39586692</v>
      </c>
      <c r="K32" s="143">
        <v>1.3283180000000001</v>
      </c>
      <c r="L32" s="143">
        <v>1.1333408700000001</v>
      </c>
      <c r="M32" s="143">
        <v>1.0834461299999998</v>
      </c>
      <c r="N32" s="143">
        <v>2.0036119999999999</v>
      </c>
      <c r="O32" s="143">
        <f t="shared" si="1"/>
        <v>15.051867979999999</v>
      </c>
    </row>
    <row r="33" spans="1:15" s="127" customFormat="1" ht="14.45" customHeight="1" x14ac:dyDescent="0.25">
      <c r="A33" s="413" t="s">
        <v>331</v>
      </c>
      <c r="B33" s="139">
        <v>56</v>
      </c>
      <c r="C33" s="140">
        <v>0.5982052000000001</v>
      </c>
      <c r="D33" s="140">
        <v>1.4746688100000001</v>
      </c>
      <c r="E33" s="140">
        <v>1.92848563</v>
      </c>
      <c r="F33" s="140">
        <v>2.4278610199999999</v>
      </c>
      <c r="G33" s="140">
        <v>4.1368428799999997</v>
      </c>
      <c r="H33" s="140">
        <v>2.82721293</v>
      </c>
      <c r="I33" s="140">
        <v>3.1660189300000003</v>
      </c>
      <c r="J33" s="140">
        <v>3.3097495800000001</v>
      </c>
      <c r="K33" s="140">
        <v>2.38331392</v>
      </c>
      <c r="L33" s="140">
        <v>2.3166521099999997</v>
      </c>
      <c r="M33" s="140">
        <v>3.1009806000000002</v>
      </c>
      <c r="N33" s="140">
        <v>6.5336471500000002</v>
      </c>
      <c r="O33" s="140">
        <f t="shared" si="1"/>
        <v>34.203638759999997</v>
      </c>
    </row>
    <row r="34" spans="1:15" s="127" customFormat="1" ht="14.45" customHeight="1" x14ac:dyDescent="0.25">
      <c r="A34" s="413"/>
      <c r="B34" s="139">
        <v>88</v>
      </c>
      <c r="C34" s="140">
        <v>8.2387662200000005</v>
      </c>
      <c r="D34" s="140">
        <v>12.881044939999999</v>
      </c>
      <c r="E34" s="140">
        <v>14.68784595</v>
      </c>
      <c r="F34" s="140">
        <v>20.438900010000001</v>
      </c>
      <c r="G34" s="140">
        <v>18.472237449999998</v>
      </c>
      <c r="H34" s="140">
        <v>13.64928072</v>
      </c>
      <c r="I34" s="140">
        <v>11.36498044</v>
      </c>
      <c r="J34" s="140">
        <v>12.31054514</v>
      </c>
      <c r="K34" s="140">
        <v>13.70578319</v>
      </c>
      <c r="L34" s="140">
        <v>7.8177635700000003</v>
      </c>
      <c r="M34" s="140">
        <v>11.86662683</v>
      </c>
      <c r="N34" s="140">
        <v>9.6857608800000001</v>
      </c>
      <c r="O34" s="140">
        <f t="shared" si="1"/>
        <v>155.11953534</v>
      </c>
    </row>
    <row r="35" spans="1:15" s="127" customFormat="1" ht="22.5" x14ac:dyDescent="0.25">
      <c r="A35" s="141" t="s">
        <v>332</v>
      </c>
      <c r="B35" s="142">
        <v>57</v>
      </c>
      <c r="C35" s="143">
        <v>0.318552</v>
      </c>
      <c r="D35" s="143">
        <v>0.57865881999999991</v>
      </c>
      <c r="E35" s="143">
        <v>0.46391157</v>
      </c>
      <c r="F35" s="143">
        <v>0.70449850999999997</v>
      </c>
      <c r="G35" s="143">
        <v>1.03471677</v>
      </c>
      <c r="H35" s="143">
        <v>1.14969491</v>
      </c>
      <c r="I35" s="143">
        <v>0.92242293999999991</v>
      </c>
      <c r="J35" s="143">
        <v>1.4944895300000001</v>
      </c>
      <c r="K35" s="143">
        <v>2.38362813</v>
      </c>
      <c r="L35" s="143">
        <v>3.59623859</v>
      </c>
      <c r="M35" s="143">
        <v>6.1186909299999996</v>
      </c>
      <c r="N35" s="143">
        <v>5.8849163799999999</v>
      </c>
      <c r="O35" s="143">
        <f t="shared" si="1"/>
        <v>24.650419079999999</v>
      </c>
    </row>
    <row r="36" spans="1:15" s="127" customFormat="1" ht="22.5" x14ac:dyDescent="0.25">
      <c r="A36" s="138" t="s">
        <v>333</v>
      </c>
      <c r="B36" s="139" t="s">
        <v>334</v>
      </c>
      <c r="C36" s="140">
        <v>0.76448950000000004</v>
      </c>
      <c r="D36" s="140">
        <v>0.56925404000000002</v>
      </c>
      <c r="E36" s="140">
        <v>0.17514617999999998</v>
      </c>
      <c r="F36" s="140">
        <v>0.35271413000000001</v>
      </c>
      <c r="G36" s="140">
        <v>0.14999905999999999</v>
      </c>
      <c r="H36" s="140">
        <v>0.78897642000000001</v>
      </c>
      <c r="I36" s="140">
        <v>0.40876585999999998</v>
      </c>
      <c r="J36" s="140">
        <v>2.1073979</v>
      </c>
      <c r="K36" s="140">
        <v>5.4188019900000004</v>
      </c>
      <c r="L36" s="140">
        <v>3.3206181699999999</v>
      </c>
      <c r="M36" s="140">
        <v>1.6023548400000001</v>
      </c>
      <c r="N36" s="140">
        <v>0.87971731999999991</v>
      </c>
      <c r="O36" s="140">
        <f t="shared" si="1"/>
        <v>16.538235410000002</v>
      </c>
    </row>
    <row r="37" spans="1:15" s="127" customFormat="1" ht="14.45" customHeight="1" x14ac:dyDescent="0.25">
      <c r="A37" s="412" t="s">
        <v>335</v>
      </c>
      <c r="B37" s="142" t="s">
        <v>62</v>
      </c>
      <c r="C37" s="143">
        <v>1.3165439999999999</v>
      </c>
      <c r="D37" s="143">
        <v>1.6056729999999999</v>
      </c>
      <c r="E37" s="143">
        <v>0.82092385000000001</v>
      </c>
      <c r="F37" s="143">
        <v>1.6854538799999998</v>
      </c>
      <c r="G37" s="143">
        <v>2.0512959999999998</v>
      </c>
      <c r="H37" s="143">
        <v>2.4830430099999998</v>
      </c>
      <c r="I37" s="143">
        <v>3.36517767</v>
      </c>
      <c r="J37" s="143">
        <v>2.3577352</v>
      </c>
      <c r="K37" s="143">
        <v>1.7113210700000001</v>
      </c>
      <c r="L37" s="143">
        <v>2.2618002400000004</v>
      </c>
      <c r="M37" s="143">
        <v>2.2961364399999997</v>
      </c>
      <c r="N37" s="143">
        <v>3.29475549</v>
      </c>
      <c r="O37" s="143">
        <f t="shared" si="1"/>
        <v>25.24985985</v>
      </c>
    </row>
    <row r="38" spans="1:15" ht="14.45" customHeight="1" x14ac:dyDescent="0.25">
      <c r="A38" s="412"/>
      <c r="B38" s="142" t="s">
        <v>124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f t="shared" si="1"/>
        <v>0</v>
      </c>
    </row>
    <row r="39" spans="1:15" s="127" customFormat="1" ht="14.45" customHeight="1" x14ac:dyDescent="0.25">
      <c r="A39" s="413" t="s">
        <v>336</v>
      </c>
      <c r="B39" s="139" t="s">
        <v>13</v>
      </c>
      <c r="C39" s="140">
        <v>0.42714999999999997</v>
      </c>
      <c r="D39" s="140">
        <v>0.33312799999999998</v>
      </c>
      <c r="E39" s="140">
        <v>7.0934999999999998E-2</v>
      </c>
      <c r="F39" s="140">
        <v>0.23630799999999999</v>
      </c>
      <c r="G39" s="140">
        <v>0.18025099999999999</v>
      </c>
      <c r="H39" s="140">
        <v>9.8485000000000003E-2</v>
      </c>
      <c r="I39" s="140">
        <v>8.1981999999999999E-2</v>
      </c>
      <c r="J39" s="140">
        <v>5.0178E-2</v>
      </c>
      <c r="K39" s="140">
        <v>-8.3400000000000002E-3</v>
      </c>
      <c r="L39" s="140">
        <v>4.6509999999999998E-3</v>
      </c>
      <c r="M39" s="140">
        <v>9.8792000000000005E-2</v>
      </c>
      <c r="N39" s="140">
        <v>0.144869</v>
      </c>
      <c r="O39" s="140">
        <f t="shared" si="1"/>
        <v>1.7183889999999997</v>
      </c>
    </row>
    <row r="40" spans="1:15" s="127" customFormat="1" ht="14.45" customHeight="1" x14ac:dyDescent="0.25">
      <c r="A40" s="413"/>
      <c r="B40" s="139" t="s">
        <v>14</v>
      </c>
      <c r="C40" s="140">
        <v>0.42702099999999998</v>
      </c>
      <c r="D40" s="140">
        <v>0.33302700000000002</v>
      </c>
      <c r="E40" s="140">
        <v>7.0914000000000005E-2</v>
      </c>
      <c r="F40" s="140">
        <v>0.236236</v>
      </c>
      <c r="G40" s="140">
        <v>0.180197</v>
      </c>
      <c r="H40" s="140">
        <v>9.8455000000000001E-2</v>
      </c>
      <c r="I40" s="140">
        <v>8.1958000000000003E-2</v>
      </c>
      <c r="J40" s="140">
        <v>5.0161999999999998E-2</v>
      </c>
      <c r="K40" s="140">
        <v>-8.3370000000000007E-3</v>
      </c>
      <c r="L40" s="140">
        <v>4.6499999999999996E-3</v>
      </c>
      <c r="M40" s="140">
        <v>9.8779000000000006E-2</v>
      </c>
      <c r="N40" s="140">
        <v>0.14482500000000001</v>
      </c>
      <c r="O40" s="140">
        <f t="shared" si="1"/>
        <v>1.7178869999999999</v>
      </c>
    </row>
    <row r="41" spans="1:15" s="127" customFormat="1" ht="14.45" customHeight="1" x14ac:dyDescent="0.25">
      <c r="A41" s="413"/>
      <c r="B41" s="139" t="s">
        <v>15</v>
      </c>
      <c r="C41" s="140">
        <v>0.42702099999999998</v>
      </c>
      <c r="D41" s="140">
        <v>0.33302700000000002</v>
      </c>
      <c r="E41" s="140">
        <v>7.0914000000000005E-2</v>
      </c>
      <c r="F41" s="140">
        <v>0.236236</v>
      </c>
      <c r="G41" s="140">
        <v>0.180197</v>
      </c>
      <c r="H41" s="140">
        <v>9.8455000000000001E-2</v>
      </c>
      <c r="I41" s="140">
        <v>8.1958000000000003E-2</v>
      </c>
      <c r="J41" s="140">
        <v>5.0161999999999998E-2</v>
      </c>
      <c r="K41" s="140">
        <v>-8.3370000000000007E-3</v>
      </c>
      <c r="L41" s="140">
        <v>4.6499999999999996E-3</v>
      </c>
      <c r="M41" s="140">
        <v>9.8779000000000006E-2</v>
      </c>
      <c r="N41" s="140">
        <v>0.14482500000000001</v>
      </c>
      <c r="O41" s="140">
        <f t="shared" si="1"/>
        <v>1.7178869999999999</v>
      </c>
    </row>
    <row r="42" spans="1:15" ht="19.149999999999999" customHeight="1" x14ac:dyDescent="0.25">
      <c r="A42" s="141" t="s">
        <v>432</v>
      </c>
      <c r="B42" s="142" t="s">
        <v>416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0.19613192999999998</v>
      </c>
      <c r="K42" s="143">
        <v>0.12670639</v>
      </c>
      <c r="L42" s="143">
        <v>0.13853464999999998</v>
      </c>
      <c r="M42" s="143">
        <v>0.17479174</v>
      </c>
      <c r="N42" s="143">
        <v>0.30021752000000002</v>
      </c>
      <c r="O42" s="143">
        <f t="shared" si="1"/>
        <v>0.93638222999999998</v>
      </c>
    </row>
    <row r="43" spans="1:15" s="127" customFormat="1" ht="24" customHeight="1" x14ac:dyDescent="0.25">
      <c r="A43" s="145" t="s">
        <v>332</v>
      </c>
      <c r="B43" s="139">
        <v>103</v>
      </c>
      <c r="C43" s="140">
        <v>4.7230000000000001E-2</v>
      </c>
      <c r="D43" s="140">
        <v>7.2253890000000001E-2</v>
      </c>
      <c r="E43" s="140">
        <v>5.9664490000000001E-2</v>
      </c>
      <c r="F43" s="140">
        <v>-9.1989600000000005E-2</v>
      </c>
      <c r="G43" s="140">
        <v>1.366232E-2</v>
      </c>
      <c r="H43" s="140">
        <v>8.4838270000000007E-2</v>
      </c>
      <c r="I43" s="140">
        <v>3.4844390000000003E-2</v>
      </c>
      <c r="J43" s="140">
        <v>4.354765E-2</v>
      </c>
      <c r="K43" s="140">
        <v>3.1702720000000004E-2</v>
      </c>
      <c r="L43" s="140">
        <v>4.276634E-2</v>
      </c>
      <c r="M43" s="140">
        <v>4.276634E-2</v>
      </c>
      <c r="N43" s="140">
        <v>-4.2296710000000001E-2</v>
      </c>
      <c r="O43" s="140">
        <f t="shared" si="1"/>
        <v>0.33899010000000002</v>
      </c>
    </row>
    <row r="44" spans="1:15" ht="24" customHeight="1" x14ac:dyDescent="0.25">
      <c r="A44" s="144" t="s">
        <v>87</v>
      </c>
      <c r="B44" s="142" t="s">
        <v>60</v>
      </c>
      <c r="C44" s="143">
        <v>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0.15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f t="shared" si="1"/>
        <v>0.15</v>
      </c>
    </row>
    <row r="45" spans="1:15" s="127" customFormat="1" ht="24.6" customHeight="1" x14ac:dyDescent="0.25">
      <c r="A45" s="145" t="s">
        <v>337</v>
      </c>
      <c r="B45" s="139" t="s">
        <v>53</v>
      </c>
      <c r="C45" s="140">
        <v>6.9236000000000006E-2</v>
      </c>
      <c r="D45" s="140">
        <v>0</v>
      </c>
      <c r="E45" s="140">
        <v>0</v>
      </c>
      <c r="F45" s="140">
        <v>7.4235999999999996E-2</v>
      </c>
      <c r="G45" s="140">
        <v>7.4235999999999996E-2</v>
      </c>
      <c r="H45" s="140">
        <v>7.4235999999999996E-2</v>
      </c>
      <c r="I45" s="140">
        <v>7.4235999999999996E-2</v>
      </c>
      <c r="J45" s="140">
        <v>7.4235999999999996E-2</v>
      </c>
      <c r="K45" s="140">
        <v>7.4235999999999996E-2</v>
      </c>
      <c r="L45" s="140">
        <v>7.4235999999999996E-2</v>
      </c>
      <c r="M45" s="140">
        <v>7.4235999999999996E-2</v>
      </c>
      <c r="N45" s="140">
        <v>0</v>
      </c>
      <c r="O45" s="140">
        <f t="shared" si="1"/>
        <v>0.66312399999999982</v>
      </c>
    </row>
    <row r="46" spans="1:15" s="147" customFormat="1" ht="20.45" customHeight="1" x14ac:dyDescent="0.25">
      <c r="A46" s="414" t="s">
        <v>116</v>
      </c>
      <c r="B46" s="414"/>
      <c r="C46" s="146">
        <f t="shared" ref="C46:O46" si="2">+SUM(C4:C45)</f>
        <v>28.545634136100006</v>
      </c>
      <c r="D46" s="146">
        <f t="shared" si="2"/>
        <v>43.274525840500004</v>
      </c>
      <c r="E46" s="146">
        <f t="shared" si="2"/>
        <v>46.426990570000001</v>
      </c>
      <c r="F46" s="146">
        <f t="shared" si="2"/>
        <v>61.405188710000004</v>
      </c>
      <c r="G46" s="146">
        <f t="shared" si="2"/>
        <v>62.848319879999991</v>
      </c>
      <c r="H46" s="146">
        <f t="shared" si="2"/>
        <v>48.426181799999995</v>
      </c>
      <c r="I46" s="146">
        <f t="shared" si="2"/>
        <v>52.769609069999994</v>
      </c>
      <c r="J46" s="146">
        <f t="shared" si="2"/>
        <v>44.168724920000017</v>
      </c>
      <c r="K46" s="146">
        <f t="shared" si="2"/>
        <v>50.016194570000003</v>
      </c>
      <c r="L46" s="146">
        <f t="shared" si="2"/>
        <v>50.18888823999999</v>
      </c>
      <c r="M46" s="146">
        <f t="shared" si="2"/>
        <v>53.137669420000002</v>
      </c>
      <c r="N46" s="146">
        <f t="shared" si="2"/>
        <v>78.51646015</v>
      </c>
      <c r="O46" s="146">
        <f t="shared" si="2"/>
        <v>619.72438730660008</v>
      </c>
    </row>
  </sheetData>
  <mergeCells count="10">
    <mergeCell ref="A33:A34"/>
    <mergeCell ref="A37:A38"/>
    <mergeCell ref="A39:A41"/>
    <mergeCell ref="A46:B46"/>
    <mergeCell ref="A29:A30"/>
    <mergeCell ref="A1:O1"/>
    <mergeCell ref="A2:O2"/>
    <mergeCell ref="A7:A8"/>
    <mergeCell ref="A12:A14"/>
    <mergeCell ref="A24:A25"/>
  </mergeCells>
  <pageMargins left="0.7" right="0.7" top="0.75" bottom="0.75" header="0.3" footer="0.3"/>
  <pageSetup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workbookViewId="0">
      <selection activeCell="J6" sqref="J6"/>
    </sheetView>
  </sheetViews>
  <sheetFormatPr baseColWidth="10" defaultColWidth="11.42578125" defaultRowHeight="11.25" x14ac:dyDescent="0.25"/>
  <cols>
    <col min="1" max="8" width="11.42578125" style="68"/>
    <col min="9" max="9" width="2.5703125" style="68" customWidth="1"/>
    <col min="10" max="16384" width="11.42578125" style="68"/>
  </cols>
  <sheetData>
    <row r="1" spans="1:10" s="69" customFormat="1" ht="11.25" customHeight="1" x14ac:dyDescent="0.25">
      <c r="A1" s="369" t="s">
        <v>293</v>
      </c>
      <c r="B1" s="369"/>
      <c r="C1" s="369"/>
      <c r="D1" s="369"/>
      <c r="E1" s="369"/>
      <c r="F1" s="369"/>
      <c r="G1" s="369"/>
      <c r="H1" s="369"/>
    </row>
    <row r="2" spans="1:10" s="69" customFormat="1" x14ac:dyDescent="0.25">
      <c r="A2" s="369" t="s">
        <v>414</v>
      </c>
      <c r="B2" s="369"/>
      <c r="C2" s="369"/>
      <c r="D2" s="369"/>
      <c r="E2" s="369"/>
      <c r="F2" s="369"/>
      <c r="G2" s="369"/>
      <c r="H2" s="369"/>
    </row>
    <row r="3" spans="1:10" s="69" customFormat="1" x14ac:dyDescent="0.25">
      <c r="A3" s="73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87">
        <v>2019</v>
      </c>
    </row>
    <row r="4" spans="1:10" x14ac:dyDescent="0.25">
      <c r="A4" s="2" t="s">
        <v>338</v>
      </c>
      <c r="B4" s="2">
        <v>492.44</v>
      </c>
      <c r="C4" s="2">
        <v>501.76</v>
      </c>
      <c r="D4" s="2">
        <v>316.69</v>
      </c>
      <c r="E4" s="2">
        <v>46.95</v>
      </c>
      <c r="F4" s="2">
        <v>17.079999999999998</v>
      </c>
      <c r="G4" s="2">
        <v>40.76</v>
      </c>
      <c r="H4" s="131">
        <v>57.727806999999999</v>
      </c>
      <c r="J4" s="231">
        <f>+H4/G4-1</f>
        <v>0.41628574582924438</v>
      </c>
    </row>
    <row r="5" spans="1:10" x14ac:dyDescent="0.25">
      <c r="A5" s="2" t="s">
        <v>339</v>
      </c>
      <c r="B5" s="2">
        <v>895.41</v>
      </c>
      <c r="C5" s="2">
        <v>688.01</v>
      </c>
      <c r="D5" s="2">
        <v>438.23</v>
      </c>
      <c r="E5" s="2">
        <v>285.69</v>
      </c>
      <c r="F5" s="2">
        <v>469.79</v>
      </c>
      <c r="G5" s="2">
        <v>561.16999999999996</v>
      </c>
      <c r="H5" s="131">
        <v>561.99657999999999</v>
      </c>
      <c r="J5" s="231">
        <f>+H5/G5-1</f>
        <v>1.4729582835861788E-3</v>
      </c>
    </row>
    <row r="6" spans="1:10" ht="12.75" x14ac:dyDescent="0.25">
      <c r="A6" s="71" t="s">
        <v>287</v>
      </c>
      <c r="B6" s="72">
        <v>1387.85</v>
      </c>
      <c r="C6" s="148">
        <f t="shared" ref="C6:G6" si="0">+C4+C5</f>
        <v>1189.77</v>
      </c>
      <c r="D6" s="148">
        <f t="shared" si="0"/>
        <v>754.92000000000007</v>
      </c>
      <c r="E6" s="148">
        <f t="shared" si="0"/>
        <v>332.64</v>
      </c>
      <c r="F6" s="148">
        <f t="shared" si="0"/>
        <v>486.87</v>
      </c>
      <c r="G6" s="148">
        <f t="shared" si="0"/>
        <v>601.92999999999995</v>
      </c>
      <c r="H6" s="148">
        <f>+H4+H5</f>
        <v>619.72438699999998</v>
      </c>
      <c r="J6" s="231">
        <f>+H6/G6-1</f>
        <v>2.9562219859452066E-2</v>
      </c>
    </row>
    <row r="8" spans="1:10" x14ac:dyDescent="0.25">
      <c r="B8" s="416" t="s">
        <v>514</v>
      </c>
      <c r="C8" s="416"/>
      <c r="D8" s="416"/>
      <c r="E8" s="416"/>
      <c r="F8" s="416"/>
      <c r="G8" s="416"/>
      <c r="H8" s="416"/>
    </row>
    <row r="9" spans="1:10" x14ac:dyDescent="0.25">
      <c r="B9" s="416"/>
      <c r="C9" s="416"/>
      <c r="D9" s="416"/>
      <c r="E9" s="416"/>
      <c r="F9" s="416"/>
      <c r="G9" s="416"/>
      <c r="H9" s="416"/>
    </row>
    <row r="30" spans="2:7" x14ac:dyDescent="0.25">
      <c r="B30" s="411" t="s">
        <v>512</v>
      </c>
      <c r="C30" s="411"/>
      <c r="D30" s="411"/>
      <c r="E30" s="411"/>
      <c r="F30" s="411"/>
      <c r="G30" s="411"/>
    </row>
    <row r="31" spans="2:7" x14ac:dyDescent="0.25">
      <c r="B31" s="411"/>
      <c r="C31" s="411"/>
      <c r="D31" s="411"/>
      <c r="E31" s="411"/>
      <c r="F31" s="411"/>
      <c r="G31" s="411"/>
    </row>
    <row r="32" spans="2:7" x14ac:dyDescent="0.25">
      <c r="B32" s="411"/>
      <c r="C32" s="411"/>
      <c r="D32" s="411"/>
      <c r="E32" s="411"/>
      <c r="F32" s="411"/>
      <c r="G32" s="411"/>
    </row>
    <row r="33" spans="2:7" x14ac:dyDescent="0.25">
      <c r="B33" s="411"/>
      <c r="C33" s="411"/>
      <c r="D33" s="411"/>
      <c r="E33" s="411"/>
      <c r="F33" s="411"/>
      <c r="G33" s="411"/>
    </row>
    <row r="34" spans="2:7" x14ac:dyDescent="0.25">
      <c r="B34" s="411"/>
      <c r="C34" s="411"/>
      <c r="D34" s="411"/>
      <c r="E34" s="411"/>
      <c r="F34" s="411"/>
      <c r="G34" s="411"/>
    </row>
    <row r="35" spans="2:7" x14ac:dyDescent="0.25">
      <c r="B35" s="411"/>
      <c r="C35" s="411"/>
      <c r="D35" s="411"/>
      <c r="E35" s="411"/>
      <c r="F35" s="411"/>
      <c r="G35" s="411"/>
    </row>
  </sheetData>
  <mergeCells count="4">
    <mergeCell ref="A1:H1"/>
    <mergeCell ref="A2:H2"/>
    <mergeCell ref="B30:G35"/>
    <mergeCell ref="B8:H9"/>
  </mergeCells>
  <pageMargins left="0.7" right="0.7" top="0.75" bottom="0.75" header="0.3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"/>
  <sheetViews>
    <sheetView workbookViewId="0">
      <selection activeCell="C42" sqref="C42"/>
    </sheetView>
  </sheetViews>
  <sheetFormatPr baseColWidth="10" defaultColWidth="11.42578125" defaultRowHeight="11.25" x14ac:dyDescent="0.2"/>
  <cols>
    <col min="1" max="16384" width="11.42578125" style="4"/>
  </cols>
  <sheetData>
    <row r="1" spans="1:7" x14ac:dyDescent="0.2">
      <c r="A1" s="403" t="s">
        <v>340</v>
      </c>
      <c r="B1" s="403"/>
      <c r="C1" s="403"/>
      <c r="D1" s="403"/>
      <c r="E1" s="403"/>
    </row>
    <row r="2" spans="1:7" x14ac:dyDescent="0.2">
      <c r="A2" s="403" t="s">
        <v>433</v>
      </c>
      <c r="B2" s="403"/>
      <c r="C2" s="403"/>
      <c r="D2" s="403"/>
      <c r="E2" s="403"/>
    </row>
    <row r="3" spans="1:7" x14ac:dyDescent="0.2">
      <c r="A3" s="5" t="s">
        <v>341</v>
      </c>
      <c r="B3" s="5">
        <v>2020</v>
      </c>
      <c r="C3" s="5">
        <v>2021</v>
      </c>
      <c r="D3" s="5">
        <v>2022</v>
      </c>
      <c r="E3" s="5">
        <v>2023</v>
      </c>
    </row>
    <row r="4" spans="1:7" x14ac:dyDescent="0.2">
      <c r="A4" s="27" t="s">
        <v>338</v>
      </c>
      <c r="B4" s="27">
        <v>115</v>
      </c>
      <c r="C4" s="27">
        <v>82</v>
      </c>
      <c r="D4" s="27">
        <v>50</v>
      </c>
      <c r="E4" s="1" t="s">
        <v>307</v>
      </c>
    </row>
    <row r="5" spans="1:7" x14ac:dyDescent="0.2">
      <c r="A5" s="27" t="s">
        <v>339</v>
      </c>
      <c r="B5" s="1">
        <v>722</v>
      </c>
      <c r="C5" s="1">
        <v>773</v>
      </c>
      <c r="D5" s="1">
        <v>887</v>
      </c>
      <c r="E5" s="1">
        <v>566</v>
      </c>
    </row>
    <row r="6" spans="1:7" x14ac:dyDescent="0.2">
      <c r="A6" s="5" t="s">
        <v>287</v>
      </c>
      <c r="B6" s="5">
        <v>837</v>
      </c>
      <c r="C6" s="5">
        <v>855</v>
      </c>
      <c r="D6" s="5">
        <v>937</v>
      </c>
      <c r="E6" s="5">
        <v>566</v>
      </c>
    </row>
    <row r="9" spans="1:7" ht="13.5" customHeight="1" x14ac:dyDescent="0.2">
      <c r="B9" s="417" t="s">
        <v>513</v>
      </c>
      <c r="C9" s="417"/>
      <c r="D9" s="417"/>
      <c r="E9" s="417"/>
      <c r="F9" s="417"/>
      <c r="G9" s="417"/>
    </row>
    <row r="10" spans="1:7" ht="13.5" customHeight="1" x14ac:dyDescent="0.2">
      <c r="B10" s="417"/>
      <c r="C10" s="417"/>
      <c r="D10" s="417"/>
      <c r="E10" s="417"/>
      <c r="F10" s="417"/>
      <c r="G10" s="417"/>
    </row>
  </sheetData>
  <mergeCells count="3">
    <mergeCell ref="A1:E1"/>
    <mergeCell ref="A2:E2"/>
    <mergeCell ref="B9:G10"/>
  </mergeCells>
  <pageMargins left="0.7" right="0.7" top="0.75" bottom="0.75" header="0.3" footer="0.3"/>
  <pageSetup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7"/>
  <sheetViews>
    <sheetView topLeftCell="E1" workbookViewId="0">
      <selection activeCell="H38" sqref="H38"/>
    </sheetView>
  </sheetViews>
  <sheetFormatPr baseColWidth="10" defaultColWidth="11.28515625" defaultRowHeight="11.25" x14ac:dyDescent="0.2"/>
  <cols>
    <col min="1" max="1" width="11.28515625" style="74"/>
    <col min="2" max="2" width="11.28515625" style="66"/>
    <col min="3" max="15" width="9.42578125" style="66" customWidth="1"/>
    <col min="16" max="16384" width="11.28515625" style="66"/>
  </cols>
  <sheetData>
    <row r="1" spans="1:15" s="69" customFormat="1" x14ac:dyDescent="0.25">
      <c r="A1" s="369" t="s">
        <v>342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69" customFormat="1" x14ac:dyDescent="0.25">
      <c r="A2" s="369">
        <v>2019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1:15" s="69" customFormat="1" x14ac:dyDescent="0.25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s="69" customFormat="1" x14ac:dyDescent="0.25">
      <c r="A4" s="420" t="s">
        <v>343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</row>
    <row r="5" spans="1:15" s="69" customFormat="1" x14ac:dyDescent="0.25">
      <c r="A5" s="16" t="s">
        <v>1</v>
      </c>
      <c r="B5" s="16" t="s">
        <v>2</v>
      </c>
      <c r="C5" s="16" t="s">
        <v>294</v>
      </c>
      <c r="D5" s="16" t="s">
        <v>295</v>
      </c>
      <c r="E5" s="16" t="s">
        <v>296</v>
      </c>
      <c r="F5" s="16" t="s">
        <v>297</v>
      </c>
      <c r="G5" s="16" t="s">
        <v>298</v>
      </c>
      <c r="H5" s="16" t="s">
        <v>299</v>
      </c>
      <c r="I5" s="16" t="s">
        <v>300</v>
      </c>
      <c r="J5" s="16" t="s">
        <v>301</v>
      </c>
      <c r="K5" s="16" t="s">
        <v>302</v>
      </c>
      <c r="L5" s="16" t="s">
        <v>303</v>
      </c>
      <c r="M5" s="16" t="s">
        <v>304</v>
      </c>
      <c r="N5" s="16" t="s">
        <v>305</v>
      </c>
      <c r="O5" s="16" t="s">
        <v>116</v>
      </c>
    </row>
    <row r="6" spans="1:15" s="153" customFormat="1" ht="22.5" x14ac:dyDescent="0.2">
      <c r="A6" s="152" t="s">
        <v>252</v>
      </c>
      <c r="B6" s="134" t="s">
        <v>138</v>
      </c>
      <c r="C6" s="135">
        <v>0.26063004000000001</v>
      </c>
      <c r="D6" s="135">
        <v>0.24198196</v>
      </c>
      <c r="E6" s="135">
        <v>0.28816245000000001</v>
      </c>
      <c r="F6" s="135">
        <v>0.32015759000000005</v>
      </c>
      <c r="G6" s="135">
        <v>0.30785699</v>
      </c>
      <c r="H6" s="135">
        <v>0.26492684999999999</v>
      </c>
      <c r="I6" s="135">
        <v>0.29118788000000001</v>
      </c>
      <c r="J6" s="135">
        <v>0.26789291999999998</v>
      </c>
      <c r="K6" s="135">
        <v>0.30402580000000001</v>
      </c>
      <c r="L6" s="135">
        <v>0.32099419000000001</v>
      </c>
      <c r="M6" s="135">
        <v>0.32072020000000001</v>
      </c>
      <c r="N6" s="135">
        <v>0.33627565999999998</v>
      </c>
      <c r="O6" s="135">
        <f>+SUM(C6:N6)</f>
        <v>3.5248125300000002</v>
      </c>
    </row>
    <row r="7" spans="1:15" s="153" customFormat="1" x14ac:dyDescent="0.2">
      <c r="A7" s="152" t="s">
        <v>344</v>
      </c>
      <c r="B7" s="134" t="s">
        <v>47</v>
      </c>
      <c r="C7" s="135">
        <v>0.48159771999999995</v>
      </c>
      <c r="D7" s="135">
        <v>0.46613729999999998</v>
      </c>
      <c r="E7" s="135">
        <v>0.55232247000000001</v>
      </c>
      <c r="F7" s="135">
        <v>0.64830525999999999</v>
      </c>
      <c r="G7" s="135">
        <v>0.66357643999999993</v>
      </c>
      <c r="H7" s="135">
        <v>0.51808540999999997</v>
      </c>
      <c r="I7" s="135">
        <v>0.55679434999999999</v>
      </c>
      <c r="J7" s="135">
        <v>0.52644304000000008</v>
      </c>
      <c r="K7" s="135">
        <v>0.57418228999999998</v>
      </c>
      <c r="L7" s="135">
        <v>0.56084266000000005</v>
      </c>
      <c r="M7" s="135">
        <v>0.60178644999999997</v>
      </c>
      <c r="N7" s="135">
        <v>0.67863046999999999</v>
      </c>
      <c r="O7" s="135">
        <f t="shared" ref="O7:O26" si="0">+SUM(C7:N7)</f>
        <v>6.8287038600000001</v>
      </c>
    </row>
    <row r="8" spans="1:15" s="153" customFormat="1" x14ac:dyDescent="0.2">
      <c r="A8" s="152" t="s">
        <v>344</v>
      </c>
      <c r="B8" s="134" t="s">
        <v>46</v>
      </c>
      <c r="C8" s="135">
        <f>+[2]REGALIAS_MENSUAL_2019_USD!V9+[2]REGALIAS_MENSUAL_2019_USD!V10</f>
        <v>1.27339859</v>
      </c>
      <c r="D8" s="135">
        <f>+[2]REGALIAS_MENSUAL_2019_USD!W9+[2]REGALIAS_MENSUAL_2019_USD!W10</f>
        <v>1.41492464</v>
      </c>
      <c r="E8" s="135">
        <f>+[2]REGALIAS_MENSUAL_2019_USD!X9+[2]REGALIAS_MENSUAL_2019_USD!X10</f>
        <v>2.0254895799999999</v>
      </c>
      <c r="F8" s="135">
        <f>+[2]REGALIAS_MENSUAL_2019_USD!Y9+[2]REGALIAS_MENSUAL_2019_USD!Y10</f>
        <v>2.4221272799999998</v>
      </c>
      <c r="G8" s="135">
        <f>+[2]REGALIAS_MENSUAL_2019_USD!Z9+[2]REGALIAS_MENSUAL_2019_USD!Z10</f>
        <v>2.5412416800000002</v>
      </c>
      <c r="H8" s="135">
        <f>+[2]REGALIAS_MENSUAL_2019_USD!AA9+[2]REGALIAS_MENSUAL_2019_USD!AA10</f>
        <v>2.3818063500000002</v>
      </c>
      <c r="I8" s="135">
        <f>+[2]REGALIAS_MENSUAL_2019_USD!AB9+[2]REGALIAS_MENSUAL_2019_USD!AB10</f>
        <v>2.6587611299999998</v>
      </c>
      <c r="J8" s="135">
        <f>+[2]REGALIAS_MENSUAL_2019_USD!AC9+[2]REGALIAS_MENSUAL_2019_USD!AC10</f>
        <v>2.1559411099999997</v>
      </c>
      <c r="K8" s="135">
        <f>+[2]REGALIAS_MENSUAL_2019_USD!AD9+[2]REGALIAS_MENSUAL_2019_USD!AD10</f>
        <v>1.9182075300000001</v>
      </c>
      <c r="L8" s="135">
        <f>+[2]REGALIAS_MENSUAL_2019_USD!AE9+[2]REGALIAS_MENSUAL_2019_USD!AE10</f>
        <v>1.8435831300000001</v>
      </c>
      <c r="M8" s="135">
        <f>+[2]REGALIAS_MENSUAL_2019_USD!AF9+[2]REGALIAS_MENSUAL_2019_USD!AF10</f>
        <v>1.8145043599999999</v>
      </c>
      <c r="N8" s="135">
        <f>+[2]REGALIAS_MENSUAL_2019_USD!AG9+[2]REGALIAS_MENSUAL_2019_USD!AG10</f>
        <v>1.93133508</v>
      </c>
      <c r="O8" s="135">
        <f t="shared" si="0"/>
        <v>24.381320460000001</v>
      </c>
    </row>
    <row r="9" spans="1:15" s="153" customFormat="1" x14ac:dyDescent="0.2">
      <c r="A9" s="152" t="s">
        <v>120</v>
      </c>
      <c r="B9" s="134" t="s">
        <v>345</v>
      </c>
      <c r="C9" s="135">
        <v>1.9504294199999999</v>
      </c>
      <c r="D9" s="135">
        <v>1.9899255900000001</v>
      </c>
      <c r="E9" s="135">
        <v>2.27147422</v>
      </c>
      <c r="F9" s="135">
        <v>2.3853103300000003</v>
      </c>
      <c r="G9" s="135">
        <v>2.3838750099999997</v>
      </c>
      <c r="H9" s="135">
        <v>1.8892531399999999</v>
      </c>
      <c r="I9" s="135">
        <v>1.9619256599999999</v>
      </c>
      <c r="J9" s="135">
        <v>1.78086345</v>
      </c>
      <c r="K9" s="135">
        <v>1.8053234299999998</v>
      </c>
      <c r="L9" s="135">
        <v>1.76776716</v>
      </c>
      <c r="M9" s="135">
        <v>1.88660256</v>
      </c>
      <c r="N9" s="135">
        <v>2.0254622599999998</v>
      </c>
      <c r="O9" s="135">
        <f t="shared" si="0"/>
        <v>24.098212229999998</v>
      </c>
    </row>
    <row r="10" spans="1:15" s="153" customFormat="1" x14ac:dyDescent="0.2">
      <c r="A10" s="152" t="s">
        <v>254</v>
      </c>
      <c r="B10" s="134" t="s">
        <v>58</v>
      </c>
      <c r="C10" s="135">
        <v>0.10529132000000001</v>
      </c>
      <c r="D10" s="135">
        <v>0.10818603</v>
      </c>
      <c r="E10" s="135">
        <v>0.12880636000000001</v>
      </c>
      <c r="F10" s="135">
        <v>0.14140555999999999</v>
      </c>
      <c r="G10" s="135">
        <v>0.13686473999999998</v>
      </c>
      <c r="H10" s="135">
        <v>0.10906686</v>
      </c>
      <c r="I10" s="135">
        <v>0.11685234</v>
      </c>
      <c r="J10" s="135">
        <v>9.7203669999999992E-2</v>
      </c>
      <c r="K10" s="135">
        <v>0.1050262</v>
      </c>
      <c r="L10" s="135">
        <v>0.10151093</v>
      </c>
      <c r="M10" s="135">
        <v>0.10822164999999999</v>
      </c>
      <c r="N10" s="135">
        <v>0.12041185</v>
      </c>
      <c r="O10" s="135">
        <f t="shared" si="0"/>
        <v>1.3788475099999999</v>
      </c>
    </row>
    <row r="11" spans="1:15" s="153" customFormat="1" x14ac:dyDescent="0.2">
      <c r="A11" s="152" t="s">
        <v>25</v>
      </c>
      <c r="B11" s="134" t="s">
        <v>48</v>
      </c>
      <c r="C11" s="135">
        <v>6.3561889900000006</v>
      </c>
      <c r="D11" s="135">
        <v>6.62594087</v>
      </c>
      <c r="E11" s="135">
        <v>7.9406334599999999</v>
      </c>
      <c r="F11" s="135">
        <v>8.9772064499999988</v>
      </c>
      <c r="G11" s="135">
        <v>9.1803587799999988</v>
      </c>
      <c r="H11" s="135">
        <v>7.1120969400000007</v>
      </c>
      <c r="I11" s="135">
        <v>6.6759385800000004</v>
      </c>
      <c r="J11" s="135">
        <v>5.2785569299999997</v>
      </c>
      <c r="K11" s="135">
        <v>6.2607739499999999</v>
      </c>
      <c r="L11" s="135">
        <v>5.7931760900000002</v>
      </c>
      <c r="M11" s="135">
        <v>6.36972863</v>
      </c>
      <c r="N11" s="135">
        <v>6.7406261600000006</v>
      </c>
      <c r="O11" s="135">
        <f t="shared" si="0"/>
        <v>83.311225829999998</v>
      </c>
    </row>
    <row r="12" spans="1:15" s="153" customFormat="1" x14ac:dyDescent="0.2">
      <c r="A12" s="152" t="s">
        <v>49</v>
      </c>
      <c r="B12" s="134" t="s">
        <v>8</v>
      </c>
      <c r="C12" s="135">
        <v>1.1516383300000002</v>
      </c>
      <c r="D12" s="135">
        <v>1.1161164299999999</v>
      </c>
      <c r="E12" s="135">
        <v>1.2107562199999999</v>
      </c>
      <c r="F12" s="135">
        <v>1.4272291699999999</v>
      </c>
      <c r="G12" s="135">
        <v>1.3260094099999999</v>
      </c>
      <c r="H12" s="135">
        <v>1.15837174</v>
      </c>
      <c r="I12" s="135">
        <v>1.3414174399999998</v>
      </c>
      <c r="J12" s="135">
        <v>1.2535832600000001</v>
      </c>
      <c r="K12" s="135">
        <v>1.2345175400000001</v>
      </c>
      <c r="L12" s="135">
        <v>1.05012694</v>
      </c>
      <c r="M12" s="135">
        <v>1.1001983700000002</v>
      </c>
      <c r="N12" s="135">
        <v>1.1214</v>
      </c>
      <c r="O12" s="135">
        <f t="shared" si="0"/>
        <v>14.491364850000002</v>
      </c>
    </row>
    <row r="13" spans="1:15" s="153" customFormat="1" ht="22.5" x14ac:dyDescent="0.2">
      <c r="A13" s="152" t="s">
        <v>252</v>
      </c>
      <c r="B13" s="134" t="s">
        <v>123</v>
      </c>
      <c r="C13" s="135">
        <v>2.523427E-2</v>
      </c>
      <c r="D13" s="135">
        <v>2.3772349999999998E-2</v>
      </c>
      <c r="E13" s="135">
        <v>2.6260430000000001E-2</v>
      </c>
      <c r="F13" s="135">
        <v>2.8654599999999999E-2</v>
      </c>
      <c r="G13" s="135">
        <v>2.8216310000000001E-2</v>
      </c>
      <c r="H13" s="135">
        <v>2.4497499999999998E-2</v>
      </c>
      <c r="I13" s="135">
        <v>2.5590390000000001E-2</v>
      </c>
      <c r="J13" s="135">
        <v>2.4543779999999998E-2</v>
      </c>
      <c r="K13" s="135">
        <v>2.4679060000000003E-2</v>
      </c>
      <c r="L13" s="135">
        <v>2.9717939999999998E-2</v>
      </c>
      <c r="M13" s="135">
        <v>3.7545470000000004E-2</v>
      </c>
      <c r="N13" s="135">
        <v>3.1731040000000002E-2</v>
      </c>
      <c r="O13" s="135">
        <f t="shared" si="0"/>
        <v>0.33044313999999997</v>
      </c>
    </row>
    <row r="14" spans="1:15" s="153" customFormat="1" ht="22.5" x14ac:dyDescent="0.2">
      <c r="A14" s="152" t="s">
        <v>252</v>
      </c>
      <c r="B14" s="134" t="s">
        <v>175</v>
      </c>
      <c r="C14" s="135">
        <v>5.2284499999999999E-3</v>
      </c>
      <c r="D14" s="135">
        <v>6.3336599999999996E-3</v>
      </c>
      <c r="E14" s="135">
        <v>7.1759199999999997E-3</v>
      </c>
      <c r="F14" s="135">
        <v>6.8490000000000001E-3</v>
      </c>
      <c r="G14" s="135">
        <v>6.4090600000000003E-3</v>
      </c>
      <c r="H14" s="135">
        <v>4.9439899999999997E-3</v>
      </c>
      <c r="I14" s="135">
        <v>5.4676600000000001E-3</v>
      </c>
      <c r="J14" s="135">
        <v>4.4047700000000006E-3</v>
      </c>
      <c r="K14" s="135">
        <v>4.9530200000000007E-3</v>
      </c>
      <c r="L14" s="135">
        <v>4.9116899999999998E-3</v>
      </c>
      <c r="M14" s="135">
        <v>5.0800300000000001E-3</v>
      </c>
      <c r="N14" s="135">
        <v>5.5955500000000003E-3</v>
      </c>
      <c r="O14" s="135">
        <f t="shared" si="0"/>
        <v>6.7352800000000004E-2</v>
      </c>
    </row>
    <row r="15" spans="1:15" s="153" customFormat="1" x14ac:dyDescent="0.2">
      <c r="A15" s="421" t="s">
        <v>346</v>
      </c>
      <c r="B15" s="421"/>
      <c r="C15" s="154">
        <f>+SUM(C6:C14)</f>
        <v>11.609637130000001</v>
      </c>
      <c r="D15" s="154">
        <f t="shared" ref="D15:O15" si="1">+SUM(D6:D14)</f>
        <v>11.99331883</v>
      </c>
      <c r="E15" s="154">
        <f t="shared" si="1"/>
        <v>14.451081110000002</v>
      </c>
      <c r="F15" s="154">
        <f t="shared" si="1"/>
        <v>16.357245239999997</v>
      </c>
      <c r="G15" s="154">
        <f t="shared" si="1"/>
        <v>16.574408420000001</v>
      </c>
      <c r="H15" s="154">
        <f t="shared" si="1"/>
        <v>13.463048780000001</v>
      </c>
      <c r="I15" s="154">
        <f t="shared" si="1"/>
        <v>13.633935430000003</v>
      </c>
      <c r="J15" s="154">
        <f t="shared" si="1"/>
        <v>11.38943293</v>
      </c>
      <c r="K15" s="154">
        <f t="shared" si="1"/>
        <v>12.231688820000002</v>
      </c>
      <c r="L15" s="154">
        <f t="shared" si="1"/>
        <v>11.472630729999999</v>
      </c>
      <c r="M15" s="154">
        <f t="shared" si="1"/>
        <v>12.244387719999999</v>
      </c>
      <c r="N15" s="154">
        <f t="shared" si="1"/>
        <v>12.99146807</v>
      </c>
      <c r="O15" s="154">
        <f t="shared" si="1"/>
        <v>158.41228321</v>
      </c>
    </row>
    <row r="16" spans="1:15" s="153" customFormat="1" x14ac:dyDescent="0.2">
      <c r="A16" s="152" t="s">
        <v>28</v>
      </c>
      <c r="B16" s="134">
        <v>8</v>
      </c>
      <c r="C16" s="135">
        <f>+[2]REGALIAS_MENSUAL_2019_USD!V27+[2]REGALIAS_MENSUAL_2019_USD!V28</f>
        <v>0.50437036999999996</v>
      </c>
      <c r="D16" s="135">
        <f>+[2]REGALIAS_MENSUAL_2019_USD!W27+[2]REGALIAS_MENSUAL_2019_USD!W28</f>
        <v>2.5465420700000001</v>
      </c>
      <c r="E16" s="135">
        <f>+[2]REGALIAS_MENSUAL_2019_USD!X27+[2]REGALIAS_MENSUAL_2019_USD!X28</f>
        <v>2.7210479599999999</v>
      </c>
      <c r="F16" s="135">
        <f>+[2]REGALIAS_MENSUAL_2019_USD!Y27+[2]REGALIAS_MENSUAL_2019_USD!Y28</f>
        <v>1.85496824</v>
      </c>
      <c r="G16" s="135">
        <f>+[2]REGALIAS_MENSUAL_2019_USD!Z27+[2]REGALIAS_MENSUAL_2019_USD!Z28</f>
        <v>2.24626094</v>
      </c>
      <c r="H16" s="135">
        <f>+[2]REGALIAS_MENSUAL_2019_USD!AA27+[2]REGALIAS_MENSUAL_2019_USD!AA28</f>
        <v>0.1534971</v>
      </c>
      <c r="I16" s="135">
        <f>+[2]REGALIAS_MENSUAL_2019_USD!AB27+[2]REGALIAS_MENSUAL_2019_USD!AB28</f>
        <v>0.86768948999999995</v>
      </c>
      <c r="J16" s="135">
        <f>+[2]REGALIAS_MENSUAL_2019_USD!AC27+[2]REGALIAS_MENSUAL_2019_USD!AC28</f>
        <v>1.8025644599999999</v>
      </c>
      <c r="K16" s="135">
        <f>+[2]REGALIAS_MENSUAL_2019_USD!AD27+[2]REGALIAS_MENSUAL_2019_USD!AD28</f>
        <v>2.1068160299999996</v>
      </c>
      <c r="L16" s="135">
        <f>+[2]REGALIAS_MENSUAL_2019_USD!AE27+[2]REGALIAS_MENSUAL_2019_USD!AE28</f>
        <v>0.92818292000000002</v>
      </c>
      <c r="M16" s="135">
        <f>+[2]REGALIAS_MENSUAL_2019_USD!AF27+[2]REGALIAS_MENSUAL_2019_USD!AF28</f>
        <v>2.4590473600000005</v>
      </c>
      <c r="N16" s="135">
        <f>+[2]REGALIAS_MENSUAL_2019_USD!AG27+[2]REGALIAS_MENSUAL_2019_USD!AG28</f>
        <v>1.8106237299999999</v>
      </c>
      <c r="O16" s="135">
        <f t="shared" si="0"/>
        <v>20.001610669999998</v>
      </c>
    </row>
    <row r="17" spans="1:15" s="153" customFormat="1" x14ac:dyDescent="0.2">
      <c r="A17" s="152" t="s">
        <v>125</v>
      </c>
      <c r="B17" s="134">
        <v>67</v>
      </c>
      <c r="C17" s="135">
        <v>0.10268387</v>
      </c>
      <c r="D17" s="135">
        <v>0.11386189999999999</v>
      </c>
      <c r="E17" s="135">
        <v>0.29742759999999996</v>
      </c>
      <c r="F17" s="135">
        <v>0.29727433000000003</v>
      </c>
      <c r="G17" s="135">
        <v>0.24875778000000001</v>
      </c>
      <c r="H17" s="135">
        <v>0.17025195000000001</v>
      </c>
      <c r="I17" s="135">
        <v>7.4019639999999998E-2</v>
      </c>
      <c r="J17" s="135">
        <v>0.17057301</v>
      </c>
      <c r="K17" s="135">
        <v>0.31535934999999998</v>
      </c>
      <c r="L17" s="135">
        <v>0.20189799</v>
      </c>
      <c r="M17" s="135">
        <v>0.29342110999999998</v>
      </c>
      <c r="N17" s="135">
        <v>0.26298490999999996</v>
      </c>
      <c r="O17" s="135">
        <f t="shared" si="0"/>
        <v>2.5485134400000002</v>
      </c>
    </row>
    <row r="18" spans="1:15" s="153" customFormat="1" x14ac:dyDescent="0.2">
      <c r="A18" s="152" t="s">
        <v>258</v>
      </c>
      <c r="B18" s="134">
        <v>95</v>
      </c>
      <c r="C18" s="135">
        <v>5.1763800000000006E-2</v>
      </c>
      <c r="D18" s="135">
        <v>6.0947939999999999E-2</v>
      </c>
      <c r="E18" s="135">
        <v>7.2823440000000003E-2</v>
      </c>
      <c r="F18" s="135">
        <v>0.14153976000000001</v>
      </c>
      <c r="G18" s="135">
        <v>0.23282818999999999</v>
      </c>
      <c r="H18" s="135">
        <v>0.30443002000000002</v>
      </c>
      <c r="I18" s="135">
        <v>0.32529864000000003</v>
      </c>
      <c r="J18" s="135">
        <v>0.35184009999999999</v>
      </c>
      <c r="K18" s="135">
        <v>0.34344640000000004</v>
      </c>
      <c r="L18" s="135">
        <v>0.46076497999999999</v>
      </c>
      <c r="M18" s="135">
        <v>0.60768946000000001</v>
      </c>
      <c r="N18" s="135">
        <v>0.72982926000000004</v>
      </c>
      <c r="O18" s="135">
        <f t="shared" si="0"/>
        <v>3.6832019899999997</v>
      </c>
    </row>
    <row r="19" spans="1:15" s="153" customFormat="1" x14ac:dyDescent="0.2">
      <c r="A19" s="152" t="s">
        <v>347</v>
      </c>
      <c r="B19" s="134" t="s">
        <v>281</v>
      </c>
      <c r="C19" s="135">
        <v>0.48682753000000001</v>
      </c>
      <c r="D19" s="135">
        <v>0.48077633000000003</v>
      </c>
      <c r="E19" s="135">
        <v>0.52780636999999997</v>
      </c>
      <c r="F19" s="135">
        <v>0.50346426</v>
      </c>
      <c r="G19" s="135">
        <v>0.52541448000000002</v>
      </c>
      <c r="H19" s="135">
        <v>0.34662782000000003</v>
      </c>
      <c r="I19" s="135">
        <v>0.44053686999999997</v>
      </c>
      <c r="J19" s="135">
        <v>0.39753932000000003</v>
      </c>
      <c r="K19" s="135">
        <v>0.37569405</v>
      </c>
      <c r="L19" s="135">
        <v>0.33606418999999998</v>
      </c>
      <c r="M19" s="135">
        <v>0.34775660999999997</v>
      </c>
      <c r="N19" s="135">
        <v>0.36851428000000003</v>
      </c>
      <c r="O19" s="135">
        <f t="shared" si="0"/>
        <v>5.1370221100000002</v>
      </c>
    </row>
    <row r="20" spans="1:15" s="153" customFormat="1" x14ac:dyDescent="0.2">
      <c r="A20" s="152" t="s">
        <v>26</v>
      </c>
      <c r="B20" s="134">
        <v>131</v>
      </c>
      <c r="C20" s="135">
        <v>1.1816685300000001</v>
      </c>
      <c r="D20" s="135">
        <v>1.1922086000000001</v>
      </c>
      <c r="E20" s="135">
        <v>1.23807051</v>
      </c>
      <c r="F20" s="135">
        <v>1.2615825199999999</v>
      </c>
      <c r="G20" s="135">
        <v>1.3175062</v>
      </c>
      <c r="H20" s="135">
        <v>1.1084441899999999</v>
      </c>
      <c r="I20" s="135">
        <v>1.14353083</v>
      </c>
      <c r="J20" s="135">
        <v>1.00649283</v>
      </c>
      <c r="K20" s="135">
        <v>1.10448415</v>
      </c>
      <c r="L20" s="135">
        <v>1.02377271</v>
      </c>
      <c r="M20" s="135">
        <v>1.01774666</v>
      </c>
      <c r="N20" s="135">
        <v>1.0964707300000001</v>
      </c>
      <c r="O20" s="135">
        <f t="shared" si="0"/>
        <v>13.69197846</v>
      </c>
    </row>
    <row r="21" spans="1:15" s="153" customFormat="1" x14ac:dyDescent="0.2">
      <c r="A21" s="152" t="s">
        <v>28</v>
      </c>
      <c r="B21" s="134">
        <v>88</v>
      </c>
      <c r="C21" s="135">
        <v>17.03065806</v>
      </c>
      <c r="D21" s="135">
        <v>16.913560960000002</v>
      </c>
      <c r="E21" s="135">
        <v>18.615649229999999</v>
      </c>
      <c r="F21" s="135">
        <v>14.783375289999999</v>
      </c>
      <c r="G21" s="135">
        <v>15.624351130000001</v>
      </c>
      <c r="H21" s="135">
        <v>14.051352509999999</v>
      </c>
      <c r="I21" s="135">
        <v>15.12597513</v>
      </c>
      <c r="J21" s="135">
        <v>13.44653602</v>
      </c>
      <c r="K21" s="135">
        <v>14.17989322</v>
      </c>
      <c r="L21" s="135">
        <v>14.370663710000001</v>
      </c>
      <c r="M21" s="135">
        <v>16.585971279999999</v>
      </c>
      <c r="N21" s="135">
        <v>16.71415884</v>
      </c>
      <c r="O21" s="135">
        <f t="shared" si="0"/>
        <v>187.44214538000003</v>
      </c>
    </row>
    <row r="22" spans="1:15" s="153" customFormat="1" x14ac:dyDescent="0.2">
      <c r="A22" s="152" t="s">
        <v>29</v>
      </c>
      <c r="B22" s="134">
        <v>57</v>
      </c>
      <c r="C22" s="135">
        <v>0.74540335999999996</v>
      </c>
      <c r="D22" s="135">
        <v>0.80682368000000004</v>
      </c>
      <c r="E22" s="135">
        <v>0.78724671000000002</v>
      </c>
      <c r="F22" s="135">
        <v>0.63783994999999993</v>
      </c>
      <c r="G22" s="135">
        <v>0.43428371999999998</v>
      </c>
      <c r="H22" s="135">
        <v>0.29363283000000001</v>
      </c>
      <c r="I22" s="135">
        <v>0.47340496000000004</v>
      </c>
      <c r="J22" s="135">
        <v>0.50855996999999997</v>
      </c>
      <c r="K22" s="135">
        <v>0.58979093000000005</v>
      </c>
      <c r="L22" s="135">
        <v>0.54933832999999999</v>
      </c>
      <c r="M22" s="135">
        <v>0.69241423999999996</v>
      </c>
      <c r="N22" s="135">
        <v>0.66999447999999995</v>
      </c>
      <c r="O22" s="135">
        <f t="shared" si="0"/>
        <v>7.18873316</v>
      </c>
    </row>
    <row r="23" spans="1:15" s="153" customFormat="1" x14ac:dyDescent="0.2">
      <c r="A23" s="152" t="s">
        <v>28</v>
      </c>
      <c r="B23" s="134">
        <v>56</v>
      </c>
      <c r="C23" s="135">
        <v>10.41561557</v>
      </c>
      <c r="D23" s="135">
        <v>10.648888300000001</v>
      </c>
      <c r="E23" s="135">
        <v>10.972483650000001</v>
      </c>
      <c r="F23" s="135">
        <v>9.7657631499999997</v>
      </c>
      <c r="G23" s="135">
        <v>9.5042062699999992</v>
      </c>
      <c r="H23" s="135">
        <v>5.9558366200000004</v>
      </c>
      <c r="I23" s="135">
        <v>6.8749484699999996</v>
      </c>
      <c r="J23" s="135">
        <v>4.8274667400000002</v>
      </c>
      <c r="K23" s="135">
        <v>6.8304481699999995</v>
      </c>
      <c r="L23" s="135">
        <v>7.2711087900000004</v>
      </c>
      <c r="M23" s="135">
        <v>9.9963638800000005</v>
      </c>
      <c r="N23" s="135">
        <v>9.6125405500000003</v>
      </c>
      <c r="O23" s="135">
        <f t="shared" si="0"/>
        <v>102.67567016000001</v>
      </c>
    </row>
    <row r="24" spans="1:15" s="153" customFormat="1" x14ac:dyDescent="0.2">
      <c r="A24" s="418" t="s">
        <v>261</v>
      </c>
      <c r="B24" s="418"/>
      <c r="C24" s="154">
        <f t="shared" ref="C24:O24" si="2">+SUM(C16:C23)</f>
        <v>30.51899109</v>
      </c>
      <c r="D24" s="154">
        <f t="shared" si="2"/>
        <v>32.763609780000003</v>
      </c>
      <c r="E24" s="154">
        <f t="shared" si="2"/>
        <v>35.232555470000001</v>
      </c>
      <c r="F24" s="154">
        <f t="shared" si="2"/>
        <v>29.245807499999998</v>
      </c>
      <c r="G24" s="154">
        <f t="shared" si="2"/>
        <v>30.133608710000004</v>
      </c>
      <c r="H24" s="154">
        <f t="shared" si="2"/>
        <v>22.384073039999997</v>
      </c>
      <c r="I24" s="154">
        <f t="shared" si="2"/>
        <v>25.325404030000001</v>
      </c>
      <c r="J24" s="154">
        <f t="shared" si="2"/>
        <v>22.511572450000003</v>
      </c>
      <c r="K24" s="154">
        <f t="shared" si="2"/>
        <v>25.845932299999998</v>
      </c>
      <c r="L24" s="154">
        <f t="shared" si="2"/>
        <v>25.141793620000001</v>
      </c>
      <c r="M24" s="154">
        <f t="shared" si="2"/>
        <v>32.000410600000002</v>
      </c>
      <c r="N24" s="154">
        <f t="shared" si="2"/>
        <v>31.26511678</v>
      </c>
      <c r="O24" s="154">
        <f t="shared" si="2"/>
        <v>342.36887537000007</v>
      </c>
    </row>
    <row r="25" spans="1:15" s="153" customFormat="1" ht="33.75" x14ac:dyDescent="0.2">
      <c r="A25" s="152" t="s">
        <v>431</v>
      </c>
      <c r="B25" s="134" t="s">
        <v>37</v>
      </c>
      <c r="C25" s="149">
        <v>0</v>
      </c>
      <c r="D25" s="135">
        <v>0.26059602999999998</v>
      </c>
      <c r="E25" s="135">
        <v>0.18835044000000001</v>
      </c>
      <c r="F25" s="149">
        <v>0</v>
      </c>
      <c r="G25" s="135">
        <v>0.20107765999999999</v>
      </c>
      <c r="H25" s="135">
        <v>0.1718884</v>
      </c>
      <c r="I25" s="135">
        <v>0</v>
      </c>
      <c r="J25" s="135">
        <v>0.16041111</v>
      </c>
      <c r="K25" s="135">
        <v>0.16801526999999999</v>
      </c>
      <c r="L25" s="135">
        <v>0</v>
      </c>
      <c r="M25" s="135">
        <v>0.24340324999999999</v>
      </c>
      <c r="N25" s="135">
        <v>0.1314603</v>
      </c>
      <c r="O25" s="135">
        <f t="shared" si="0"/>
        <v>1.5252024600000003</v>
      </c>
    </row>
    <row r="26" spans="1:15" s="153" customFormat="1" ht="22.5" x14ac:dyDescent="0.2">
      <c r="A26" s="152" t="s">
        <v>335</v>
      </c>
      <c r="B26" s="134" t="s">
        <v>124</v>
      </c>
      <c r="C26" s="149">
        <v>5.3593129999999996E-2</v>
      </c>
      <c r="D26" s="135">
        <v>0</v>
      </c>
      <c r="E26" s="135">
        <v>0</v>
      </c>
      <c r="F26" s="149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f t="shared" si="0"/>
        <v>5.3593129999999996E-2</v>
      </c>
    </row>
    <row r="27" spans="1:15" x14ac:dyDescent="0.2">
      <c r="A27" s="423" t="s">
        <v>264</v>
      </c>
      <c r="B27" s="423"/>
      <c r="C27" s="151">
        <f>+C25+C26</f>
        <v>5.3593129999999996E-2</v>
      </c>
      <c r="D27" s="151">
        <f t="shared" ref="D27:O27" si="3">+D25+D26</f>
        <v>0.26059602999999998</v>
      </c>
      <c r="E27" s="151">
        <f t="shared" si="3"/>
        <v>0.18835044000000001</v>
      </c>
      <c r="F27" s="151">
        <f t="shared" si="3"/>
        <v>0</v>
      </c>
      <c r="G27" s="151">
        <f t="shared" si="3"/>
        <v>0.20107765999999999</v>
      </c>
      <c r="H27" s="151">
        <f t="shared" si="3"/>
        <v>0.1718884</v>
      </c>
      <c r="I27" s="151">
        <f t="shared" si="3"/>
        <v>0</v>
      </c>
      <c r="J27" s="151">
        <f t="shared" si="3"/>
        <v>0.16041111</v>
      </c>
      <c r="K27" s="151">
        <f t="shared" si="3"/>
        <v>0.16801526999999999</v>
      </c>
      <c r="L27" s="151">
        <f t="shared" si="3"/>
        <v>0</v>
      </c>
      <c r="M27" s="151">
        <f t="shared" si="3"/>
        <v>0.24340324999999999</v>
      </c>
      <c r="N27" s="151">
        <f t="shared" si="3"/>
        <v>0.1314603</v>
      </c>
      <c r="O27" s="151">
        <f t="shared" si="3"/>
        <v>1.5787955900000004</v>
      </c>
    </row>
    <row r="28" spans="1:15" x14ac:dyDescent="0.2">
      <c r="A28" s="361" t="s">
        <v>348</v>
      </c>
      <c r="B28" s="361"/>
      <c r="C28" s="150">
        <f t="shared" ref="C28:O28" si="4">+C15+C24+C27</f>
        <v>42.182221350000006</v>
      </c>
      <c r="D28" s="150">
        <f t="shared" si="4"/>
        <v>45.017524640000005</v>
      </c>
      <c r="E28" s="150">
        <f t="shared" si="4"/>
        <v>49.871987020000006</v>
      </c>
      <c r="F28" s="150">
        <f t="shared" si="4"/>
        <v>45.603052739999995</v>
      </c>
      <c r="G28" s="150">
        <f t="shared" si="4"/>
        <v>46.909094790000005</v>
      </c>
      <c r="H28" s="150">
        <f t="shared" si="4"/>
        <v>36.019010219999998</v>
      </c>
      <c r="I28" s="150">
        <f t="shared" si="4"/>
        <v>38.959339460000002</v>
      </c>
      <c r="J28" s="150">
        <f t="shared" si="4"/>
        <v>34.061416489999999</v>
      </c>
      <c r="K28" s="150">
        <f t="shared" si="4"/>
        <v>38.245636390000001</v>
      </c>
      <c r="L28" s="150">
        <f t="shared" si="4"/>
        <v>36.61442435</v>
      </c>
      <c r="M28" s="150">
        <f t="shared" si="4"/>
        <v>44.488201570000001</v>
      </c>
      <c r="N28" s="150">
        <f t="shared" si="4"/>
        <v>44.388045149999996</v>
      </c>
      <c r="O28" s="150">
        <f t="shared" si="4"/>
        <v>502.35995417000009</v>
      </c>
    </row>
    <row r="29" spans="1:15" x14ac:dyDescent="0.2">
      <c r="A29" s="47"/>
      <c r="B29" s="12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s="75" customFormat="1" x14ac:dyDescent="0.2">
      <c r="A30" s="424" t="s">
        <v>349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</row>
    <row r="31" spans="1:15" x14ac:dyDescent="0.2">
      <c r="A31" s="17" t="s">
        <v>1</v>
      </c>
      <c r="B31" s="9" t="s">
        <v>2</v>
      </c>
      <c r="C31" s="9" t="s">
        <v>294</v>
      </c>
      <c r="D31" s="9" t="s">
        <v>295</v>
      </c>
      <c r="E31" s="9" t="s">
        <v>296</v>
      </c>
      <c r="F31" s="9" t="s">
        <v>297</v>
      </c>
      <c r="G31" s="9" t="s">
        <v>298</v>
      </c>
      <c r="H31" s="9" t="s">
        <v>299</v>
      </c>
      <c r="I31" s="9" t="s">
        <v>300</v>
      </c>
      <c r="J31" s="9" t="s">
        <v>301</v>
      </c>
      <c r="K31" s="9" t="s">
        <v>302</v>
      </c>
      <c r="L31" s="9" t="s">
        <v>303</v>
      </c>
      <c r="M31" s="9" t="s">
        <v>304</v>
      </c>
      <c r="N31" s="9" t="s">
        <v>305</v>
      </c>
      <c r="O31" s="6" t="s">
        <v>287</v>
      </c>
    </row>
    <row r="32" spans="1:15" s="153" customFormat="1" x14ac:dyDescent="0.2">
      <c r="A32" s="152" t="s">
        <v>120</v>
      </c>
      <c r="B32" s="155" t="s">
        <v>345</v>
      </c>
      <c r="C32" s="135">
        <v>4.5505129999999998E-2</v>
      </c>
      <c r="D32" s="135">
        <v>4.952053E-2</v>
      </c>
      <c r="E32" s="135">
        <v>5.5693140000000002E-2</v>
      </c>
      <c r="F32" s="135">
        <v>1.9192740000000003E-2</v>
      </c>
      <c r="G32" s="135">
        <v>5.3944499999999999E-2</v>
      </c>
      <c r="H32" s="135">
        <v>5.3699820000000002E-2</v>
      </c>
      <c r="I32" s="135">
        <v>6.1808309999999998E-2</v>
      </c>
      <c r="J32" s="135">
        <v>7.0964360000000004E-2</v>
      </c>
      <c r="K32" s="135">
        <v>7.2478179999999989E-2</v>
      </c>
      <c r="L32" s="135">
        <v>7.5915589999999991E-2</v>
      </c>
      <c r="M32" s="135">
        <v>7.437647E-2</v>
      </c>
      <c r="N32" s="135">
        <v>6.6548270000000007E-2</v>
      </c>
      <c r="O32" s="135">
        <f t="shared" ref="O32:O35" si="5">+SUM(C32:N32)</f>
        <v>0.69964704</v>
      </c>
    </row>
    <row r="33" spans="1:15" s="153" customFormat="1" x14ac:dyDescent="0.2">
      <c r="A33" s="152" t="s">
        <v>25</v>
      </c>
      <c r="B33" s="155" t="s">
        <v>48</v>
      </c>
      <c r="C33" s="135">
        <v>0.26103404000000002</v>
      </c>
      <c r="D33" s="135">
        <v>0.23065548999999999</v>
      </c>
      <c r="E33" s="135">
        <v>0.25134886000000001</v>
      </c>
      <c r="F33" s="135">
        <v>0.24785560000000001</v>
      </c>
      <c r="G33" s="135">
        <v>0.27686623999999999</v>
      </c>
      <c r="H33" s="135">
        <v>0.27802296000000004</v>
      </c>
      <c r="I33" s="135">
        <v>0.29020649999999998</v>
      </c>
      <c r="J33" s="135">
        <v>0.26769701000000001</v>
      </c>
      <c r="K33" s="135">
        <v>0.30485572</v>
      </c>
      <c r="L33" s="135">
        <v>0.31392478999999995</v>
      </c>
      <c r="M33" s="135">
        <v>0.29051621999999999</v>
      </c>
      <c r="N33" s="135">
        <v>0.29702390000000001</v>
      </c>
      <c r="O33" s="135">
        <f t="shared" si="5"/>
        <v>3.3100073299999995</v>
      </c>
    </row>
    <row r="34" spans="1:15" s="153" customFormat="1" ht="22.5" x14ac:dyDescent="0.2">
      <c r="A34" s="152" t="s">
        <v>252</v>
      </c>
      <c r="B34" s="134" t="s">
        <v>138</v>
      </c>
      <c r="C34" s="135">
        <v>3.220663E-2</v>
      </c>
      <c r="D34" s="135">
        <v>2.8926650000000002E-2</v>
      </c>
      <c r="E34" s="135">
        <v>3.216318E-2</v>
      </c>
      <c r="F34" s="135">
        <v>2.9615759999999998E-2</v>
      </c>
      <c r="G34" s="135">
        <v>3.2179340000000001E-2</v>
      </c>
      <c r="H34" s="135">
        <v>3.1409930000000003E-2</v>
      </c>
      <c r="I34" s="135">
        <v>3.0527330000000002E-2</v>
      </c>
      <c r="J34" s="135">
        <v>3.2161740000000001E-2</v>
      </c>
      <c r="K34" s="135">
        <v>2.9738209999999998E-2</v>
      </c>
      <c r="L34" s="135">
        <v>3.0839209999999999E-2</v>
      </c>
      <c r="M34" s="135">
        <v>2.6177290000000002E-2</v>
      </c>
      <c r="N34" s="135">
        <v>1.6409880000000002E-2</v>
      </c>
      <c r="O34" s="135">
        <f t="shared" si="5"/>
        <v>0.35235515000000001</v>
      </c>
    </row>
    <row r="35" spans="1:15" s="153" customFormat="1" x14ac:dyDescent="0.2">
      <c r="A35" s="152" t="s">
        <v>49</v>
      </c>
      <c r="B35" s="155" t="s">
        <v>8</v>
      </c>
      <c r="C35" s="135">
        <f>+[2]REGALIAS_MENSUAL_2019_USD!V16+[2]REGALIAS_MENSUAL_2019_USD!V17+[2]REGALIAS_MENSUAL_2019_USD!V18+[2]REGALIAS_MENSUAL_2019_USD!V19</f>
        <v>0.21210405000000004</v>
      </c>
      <c r="D35" s="135">
        <f>+[2]REGALIAS_MENSUAL_2019_USD!W16+[2]REGALIAS_MENSUAL_2019_USD!W17+[2]REGALIAS_MENSUAL_2019_USD!W18+[2]REGALIAS_MENSUAL_2019_USD!W19</f>
        <v>0.20279092999999998</v>
      </c>
      <c r="E35" s="135">
        <f>+[2]REGALIAS_MENSUAL_2019_USD!X16+[2]REGALIAS_MENSUAL_2019_USD!X17+[2]REGALIAS_MENSUAL_2019_USD!X18+[2]REGALIAS_MENSUAL_2019_USD!X19</f>
        <v>0.23717265999999998</v>
      </c>
      <c r="F35" s="135">
        <f>+[2]REGALIAS_MENSUAL_2019_USD!Y16+[2]REGALIAS_MENSUAL_2019_USD!Y17+[2]REGALIAS_MENSUAL_2019_USD!Y18+[2]REGALIAS_MENSUAL_2019_USD!Y19</f>
        <v>0.23610428</v>
      </c>
      <c r="G35" s="135">
        <f>+[2]REGALIAS_MENSUAL_2019_USD!Z16+[2]REGALIAS_MENSUAL_2019_USD!Z17+[2]REGALIAS_MENSUAL_2019_USD!Z18+[2]REGALIAS_MENSUAL_2019_USD!Z19</f>
        <v>0.22872065000000003</v>
      </c>
      <c r="H35" s="135">
        <f>+[2]REGALIAS_MENSUAL_2019_USD!AA16+[2]REGALIAS_MENSUAL_2019_USD!AA17+[2]REGALIAS_MENSUAL_2019_USD!AA18+[2]REGALIAS_MENSUAL_2019_USD!AA19</f>
        <v>0.26114462999999999</v>
      </c>
      <c r="I35" s="135">
        <f>+[2]REGALIAS_MENSUAL_2019_USD!AB16+[2]REGALIAS_MENSUAL_2019_USD!AB17+[2]REGALIAS_MENSUAL_2019_USD!AB18+[2]REGALIAS_MENSUAL_2019_USD!AB19</f>
        <v>0.32064221000000004</v>
      </c>
      <c r="J35" s="135">
        <f>+[2]REGALIAS_MENSUAL_2019_USD!AC16+[2]REGALIAS_MENSUAL_2019_USD!AC17+[2]REGALIAS_MENSUAL_2019_USD!AC18+[2]REGALIAS_MENSUAL_2019_USD!AC19</f>
        <v>0.42358530999999999</v>
      </c>
      <c r="K35" s="135">
        <f>+[2]REGALIAS_MENSUAL_2019_USD!AD16+[2]REGALIAS_MENSUAL_2019_USD!AD17+[2]REGALIAS_MENSUAL_2019_USD!AD18+[2]REGALIAS_MENSUAL_2019_USD!AD19</f>
        <v>0.33982875000000001</v>
      </c>
      <c r="L35" s="135">
        <f>+[2]REGALIAS_MENSUAL_2019_USD!AE16+[2]REGALIAS_MENSUAL_2019_USD!AE17+[2]REGALIAS_MENSUAL_2019_USD!AE18+[2]REGALIAS_MENSUAL_2019_USD!AE19</f>
        <v>0.43082209999999999</v>
      </c>
      <c r="M35" s="135">
        <f>+[2]REGALIAS_MENSUAL_2019_USD!AF16+[2]REGALIAS_MENSUAL_2019_USD!AF17+[2]REGALIAS_MENSUAL_2019_USD!AF18+[2]REGALIAS_MENSUAL_2019_USD!AF19</f>
        <v>0.32963770000000003</v>
      </c>
      <c r="N35" s="135">
        <f>+[2]REGALIAS_MENSUAL_2019_USD!AG16+[2]REGALIAS_MENSUAL_2019_USD!AG17+[2]REGALIAS_MENSUAL_2019_USD!AG18+[2]REGALIAS_MENSUAL_2019_USD!AG19</f>
        <v>0.45534476000000002</v>
      </c>
      <c r="O35" s="135">
        <f t="shared" si="5"/>
        <v>3.6778980300000002</v>
      </c>
    </row>
    <row r="36" spans="1:15" s="153" customFormat="1" x14ac:dyDescent="0.2">
      <c r="A36" s="418" t="s">
        <v>346</v>
      </c>
      <c r="B36" s="418"/>
      <c r="C36" s="154">
        <f>+SUM(C32:C35)</f>
        <v>0.55084985000000009</v>
      </c>
      <c r="D36" s="154">
        <f t="shared" ref="D36:O36" si="6">+SUM(D32:D35)</f>
        <v>0.51189359999999995</v>
      </c>
      <c r="E36" s="154">
        <f t="shared" si="6"/>
        <v>0.57637784000000003</v>
      </c>
      <c r="F36" s="154">
        <f t="shared" si="6"/>
        <v>0.53276838000000004</v>
      </c>
      <c r="G36" s="154">
        <f t="shared" si="6"/>
        <v>0.59171072999999996</v>
      </c>
      <c r="H36" s="154">
        <f t="shared" si="6"/>
        <v>0.62427734000000001</v>
      </c>
      <c r="I36" s="154">
        <f t="shared" si="6"/>
        <v>0.70318435000000001</v>
      </c>
      <c r="J36" s="154">
        <f t="shared" si="6"/>
        <v>0.79440842</v>
      </c>
      <c r="K36" s="154">
        <f t="shared" si="6"/>
        <v>0.74690086</v>
      </c>
      <c r="L36" s="154">
        <f t="shared" si="6"/>
        <v>0.85150168999999987</v>
      </c>
      <c r="M36" s="154">
        <f t="shared" si="6"/>
        <v>0.72070768000000007</v>
      </c>
      <c r="N36" s="154">
        <f t="shared" si="6"/>
        <v>0.83532680999999998</v>
      </c>
      <c r="O36" s="154">
        <f t="shared" si="6"/>
        <v>8.0399075500000006</v>
      </c>
    </row>
    <row r="37" spans="1:15" s="153" customFormat="1" ht="9.6" customHeight="1" x14ac:dyDescent="0.2">
      <c r="A37" s="152" t="s">
        <v>347</v>
      </c>
      <c r="B37" s="155" t="s">
        <v>211</v>
      </c>
      <c r="C37" s="135">
        <v>0.43634856999999999</v>
      </c>
      <c r="D37" s="135">
        <v>0.31372878999999998</v>
      </c>
      <c r="E37" s="135">
        <v>0.16610180999999999</v>
      </c>
      <c r="F37" s="135">
        <v>0.17359504000000001</v>
      </c>
      <c r="G37" s="135">
        <v>0.62582510999999996</v>
      </c>
      <c r="H37" s="135">
        <v>0.44667216999999998</v>
      </c>
      <c r="I37" s="135">
        <v>0.55385013000000005</v>
      </c>
      <c r="J37" s="135">
        <v>1.4574418500000001</v>
      </c>
      <c r="K37" s="135">
        <v>1.03365065</v>
      </c>
      <c r="L37" s="135">
        <v>0.98956063000000005</v>
      </c>
      <c r="M37" s="135">
        <v>0.30575236</v>
      </c>
      <c r="N37" s="135">
        <v>3.8397300000000002E-2</v>
      </c>
      <c r="O37" s="135">
        <f t="shared" ref="O37:O43" si="7">+SUM(C37:N37)</f>
        <v>6.5409244099999997</v>
      </c>
    </row>
    <row r="38" spans="1:15" s="153" customFormat="1" x14ac:dyDescent="0.2">
      <c r="A38" s="152" t="s">
        <v>28</v>
      </c>
      <c r="B38" s="155">
        <v>88</v>
      </c>
      <c r="C38" s="135">
        <v>15.14386839</v>
      </c>
      <c r="D38" s="135">
        <v>12.074250920000001</v>
      </c>
      <c r="E38" s="135">
        <v>14.257828589999999</v>
      </c>
      <c r="F38" s="135">
        <v>13.996620910000001</v>
      </c>
      <c r="G38" s="135">
        <v>15.89296661</v>
      </c>
      <c r="H38" s="135">
        <v>16.865270329999998</v>
      </c>
      <c r="I38" s="135">
        <v>18.423111129999999</v>
      </c>
      <c r="J38" s="135">
        <v>19.242414010000001</v>
      </c>
      <c r="K38" s="135">
        <v>18.906800910000001</v>
      </c>
      <c r="L38" s="135">
        <v>18.41559127</v>
      </c>
      <c r="M38" s="135">
        <v>16.656950890000001</v>
      </c>
      <c r="N38" s="135">
        <v>13.81918784</v>
      </c>
      <c r="O38" s="135">
        <f t="shared" si="7"/>
        <v>193.69486180000001</v>
      </c>
    </row>
    <row r="39" spans="1:15" s="153" customFormat="1" x14ac:dyDescent="0.2">
      <c r="A39" s="152" t="s">
        <v>28</v>
      </c>
      <c r="B39" s="155" t="s">
        <v>350</v>
      </c>
      <c r="C39" s="135">
        <v>1.6094321299999998</v>
      </c>
      <c r="D39" s="135">
        <v>0.88376675000000005</v>
      </c>
      <c r="E39" s="135">
        <v>0.49561828000000002</v>
      </c>
      <c r="F39" s="135">
        <v>0.43264076000000001</v>
      </c>
      <c r="G39" s="135">
        <v>0.44179465999999995</v>
      </c>
      <c r="H39" s="135">
        <v>0.29659744999999998</v>
      </c>
      <c r="I39" s="135">
        <v>0.35304111999999999</v>
      </c>
      <c r="J39" s="135">
        <v>0.32167802000000001</v>
      </c>
      <c r="K39" s="135">
        <v>0.30455603999999997</v>
      </c>
      <c r="L39" s="135">
        <v>0.43171320000000002</v>
      </c>
      <c r="M39" s="135">
        <v>0.52945688000000002</v>
      </c>
      <c r="N39" s="135">
        <v>0.52567850999999999</v>
      </c>
      <c r="O39" s="135">
        <f t="shared" si="7"/>
        <v>6.6259737999999988</v>
      </c>
    </row>
    <row r="40" spans="1:15" s="153" customFormat="1" x14ac:dyDescent="0.2">
      <c r="A40" s="152" t="s">
        <v>28</v>
      </c>
      <c r="B40" s="155" t="s">
        <v>351</v>
      </c>
      <c r="C40" s="135">
        <v>7.064637E-2</v>
      </c>
      <c r="D40" s="135">
        <v>6.5949270000000004E-2</v>
      </c>
      <c r="E40" s="135">
        <v>6.270887E-2</v>
      </c>
      <c r="F40" s="135">
        <v>5.8261420000000001E-2</v>
      </c>
      <c r="G40" s="135">
        <v>4.6315629999999997E-2</v>
      </c>
      <c r="H40" s="135">
        <v>3.5129180000000003E-2</v>
      </c>
      <c r="I40" s="135">
        <v>5.3170660000000002E-2</v>
      </c>
      <c r="J40" s="135">
        <v>6.3950999999999994E-2</v>
      </c>
      <c r="K40" s="135">
        <v>6.3816960000000006E-2</v>
      </c>
      <c r="L40" s="135">
        <v>5.6829300000000006E-2</v>
      </c>
      <c r="M40" s="135">
        <v>6.0181430000000001E-2</v>
      </c>
      <c r="N40" s="135">
        <v>5.9404499999999999E-2</v>
      </c>
      <c r="O40" s="135">
        <f t="shared" si="7"/>
        <v>0.69636458999999984</v>
      </c>
    </row>
    <row r="41" spans="1:15" s="153" customFormat="1" x14ac:dyDescent="0.2">
      <c r="A41" s="152" t="s">
        <v>29</v>
      </c>
      <c r="B41" s="155">
        <v>57</v>
      </c>
      <c r="C41" s="135">
        <v>1.34465407</v>
      </c>
      <c r="D41" s="135">
        <v>0.82474994999999995</v>
      </c>
      <c r="E41" s="135">
        <v>0.38668021000000002</v>
      </c>
      <c r="F41" s="135">
        <v>0.30781092999999998</v>
      </c>
      <c r="G41" s="135">
        <v>0.22201023</v>
      </c>
      <c r="H41" s="135">
        <v>0.20846445999999999</v>
      </c>
      <c r="I41" s="135">
        <v>0.30935322999999998</v>
      </c>
      <c r="J41" s="135">
        <v>0.36945454999999999</v>
      </c>
      <c r="K41" s="135">
        <v>0.38518212000000002</v>
      </c>
      <c r="L41" s="135">
        <v>0.34263365999999995</v>
      </c>
      <c r="M41" s="135">
        <v>0.39401140999999995</v>
      </c>
      <c r="N41" s="135">
        <v>0.38106776000000003</v>
      </c>
      <c r="O41" s="135">
        <f t="shared" si="7"/>
        <v>5.4760725799999994</v>
      </c>
    </row>
    <row r="42" spans="1:15" s="153" customFormat="1" x14ac:dyDescent="0.2">
      <c r="A42" s="152" t="s">
        <v>28</v>
      </c>
      <c r="B42" s="155">
        <v>56</v>
      </c>
      <c r="C42" s="135">
        <v>0.39116600000000001</v>
      </c>
      <c r="D42" s="135">
        <v>0.35953966999999998</v>
      </c>
      <c r="E42" s="135">
        <v>0.35561851</v>
      </c>
      <c r="F42" s="135">
        <v>0.32027533000000002</v>
      </c>
      <c r="G42" s="135">
        <v>0.24738338000000001</v>
      </c>
      <c r="H42" s="135">
        <v>0.21227235</v>
      </c>
      <c r="I42" s="135">
        <v>0.32693286999999999</v>
      </c>
      <c r="J42" s="135">
        <v>0.38730635999999996</v>
      </c>
      <c r="K42" s="135">
        <v>0.41077335999999998</v>
      </c>
      <c r="L42" s="135">
        <v>0.36398143999999999</v>
      </c>
      <c r="M42" s="135">
        <v>0.38370009000000005</v>
      </c>
      <c r="N42" s="135">
        <v>0.37516651000000001</v>
      </c>
      <c r="O42" s="135">
        <f t="shared" si="7"/>
        <v>4.1341158699999996</v>
      </c>
    </row>
    <row r="43" spans="1:15" s="153" customFormat="1" ht="22.5" x14ac:dyDescent="0.2">
      <c r="A43" s="152" t="s">
        <v>28</v>
      </c>
      <c r="B43" s="155" t="s">
        <v>352</v>
      </c>
      <c r="C43" s="135">
        <v>11.60873527</v>
      </c>
      <c r="D43" s="135">
        <v>6.5965499400000001</v>
      </c>
      <c r="E43" s="135">
        <v>3.4788422799999998</v>
      </c>
      <c r="F43" s="135">
        <v>2.5216457599999997</v>
      </c>
      <c r="G43" s="135">
        <v>2.0404944600000001</v>
      </c>
      <c r="H43" s="135">
        <v>1.45508035</v>
      </c>
      <c r="I43" s="135">
        <v>2.1296885899999998</v>
      </c>
      <c r="J43" s="135">
        <v>2.3115737900000002</v>
      </c>
      <c r="K43" s="135">
        <v>2.3704052</v>
      </c>
      <c r="L43" s="135">
        <v>2.9723682400000002</v>
      </c>
      <c r="M43" s="135">
        <v>3.9092615299999998</v>
      </c>
      <c r="N43" s="135">
        <v>3.8007881400000003</v>
      </c>
      <c r="O43" s="135">
        <f t="shared" si="7"/>
        <v>45.195433550000004</v>
      </c>
    </row>
    <row r="44" spans="1:15" x14ac:dyDescent="0.2">
      <c r="A44" s="425" t="s">
        <v>261</v>
      </c>
      <c r="B44" s="425"/>
      <c r="C44" s="151">
        <f>+SUM(C37:C43)</f>
        <v>30.604850799999998</v>
      </c>
      <c r="D44" s="151">
        <f t="shared" ref="D44:O44" si="8">+SUM(D37:D43)</f>
        <v>21.118535290000001</v>
      </c>
      <c r="E44" s="151">
        <f t="shared" si="8"/>
        <v>19.203398549999999</v>
      </c>
      <c r="F44" s="151">
        <f t="shared" si="8"/>
        <v>17.81085015</v>
      </c>
      <c r="G44" s="151">
        <f t="shared" si="8"/>
        <v>19.516790079999996</v>
      </c>
      <c r="H44" s="151">
        <f t="shared" si="8"/>
        <v>19.519486289999993</v>
      </c>
      <c r="I44" s="151">
        <f t="shared" si="8"/>
        <v>22.149147729999999</v>
      </c>
      <c r="J44" s="151">
        <f t="shared" si="8"/>
        <v>24.15381958</v>
      </c>
      <c r="K44" s="151">
        <f t="shared" si="8"/>
        <v>23.475185240000002</v>
      </c>
      <c r="L44" s="151">
        <f t="shared" si="8"/>
        <v>23.572677740000003</v>
      </c>
      <c r="M44" s="151">
        <f t="shared" si="8"/>
        <v>22.239314590000003</v>
      </c>
      <c r="N44" s="151">
        <f t="shared" si="8"/>
        <v>18.999690560000001</v>
      </c>
      <c r="O44" s="151">
        <f t="shared" si="8"/>
        <v>262.36374660000001</v>
      </c>
    </row>
    <row r="45" spans="1:15" x14ac:dyDescent="0.2">
      <c r="A45" s="361" t="s">
        <v>353</v>
      </c>
      <c r="B45" s="361"/>
      <c r="C45" s="150">
        <f>+C36+C44</f>
        <v>31.155700649999996</v>
      </c>
      <c r="D45" s="150">
        <f t="shared" ref="D45:O45" si="9">+D36+D44</f>
        <v>21.630428890000001</v>
      </c>
      <c r="E45" s="150">
        <f t="shared" si="9"/>
        <v>19.779776389999999</v>
      </c>
      <c r="F45" s="150">
        <f t="shared" si="9"/>
        <v>18.343618530000001</v>
      </c>
      <c r="G45" s="150">
        <f t="shared" si="9"/>
        <v>20.108500809999995</v>
      </c>
      <c r="H45" s="150">
        <f t="shared" si="9"/>
        <v>20.143763629999992</v>
      </c>
      <c r="I45" s="150">
        <f t="shared" si="9"/>
        <v>22.85233208</v>
      </c>
      <c r="J45" s="150">
        <f t="shared" si="9"/>
        <v>24.948228</v>
      </c>
      <c r="K45" s="150">
        <f t="shared" si="9"/>
        <v>24.222086100000002</v>
      </c>
      <c r="L45" s="150">
        <f t="shared" si="9"/>
        <v>24.424179430000002</v>
      </c>
      <c r="M45" s="150">
        <f t="shared" si="9"/>
        <v>22.960022270000003</v>
      </c>
      <c r="N45" s="150">
        <f t="shared" si="9"/>
        <v>19.835017370000003</v>
      </c>
      <c r="O45" s="150">
        <f t="shared" si="9"/>
        <v>270.40365415000002</v>
      </c>
    </row>
    <row r="46" spans="1:15" x14ac:dyDescent="0.2">
      <c r="A46" s="47"/>
      <c r="B46" s="12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1:15" s="157" customFormat="1" ht="12" x14ac:dyDescent="0.2">
      <c r="A47" s="422" t="s">
        <v>354</v>
      </c>
      <c r="B47" s="422"/>
      <c r="C47" s="156">
        <f>+C28+C45</f>
        <v>73.337922000000006</v>
      </c>
      <c r="D47" s="156">
        <f t="shared" ref="D47:N47" si="10">+D28+D45</f>
        <v>66.647953530000009</v>
      </c>
      <c r="E47" s="156">
        <f t="shared" si="10"/>
        <v>69.651763410000001</v>
      </c>
      <c r="F47" s="156">
        <f t="shared" si="10"/>
        <v>63.946671269999996</v>
      </c>
      <c r="G47" s="156">
        <f t="shared" si="10"/>
        <v>67.017595599999993</v>
      </c>
      <c r="H47" s="156">
        <f t="shared" si="10"/>
        <v>56.162773849999994</v>
      </c>
      <c r="I47" s="156">
        <f t="shared" si="10"/>
        <v>61.811671540000006</v>
      </c>
      <c r="J47" s="156">
        <f t="shared" si="10"/>
        <v>59.009644489999999</v>
      </c>
      <c r="K47" s="156">
        <f t="shared" si="10"/>
        <v>62.46772249</v>
      </c>
      <c r="L47" s="156">
        <f t="shared" si="10"/>
        <v>61.038603780000003</v>
      </c>
      <c r="M47" s="156">
        <f t="shared" si="10"/>
        <v>67.448223839999997</v>
      </c>
      <c r="N47" s="156">
        <f t="shared" si="10"/>
        <v>64.223062519999999</v>
      </c>
      <c r="O47" s="156">
        <f>+O28+O45</f>
        <v>772.76360832000012</v>
      </c>
    </row>
  </sheetData>
  <mergeCells count="13">
    <mergeCell ref="A47:B47"/>
    <mergeCell ref="A27:B27"/>
    <mergeCell ref="A28:B28"/>
    <mergeCell ref="A30:O30"/>
    <mergeCell ref="A36:B36"/>
    <mergeCell ref="A44:B44"/>
    <mergeCell ref="A45:B45"/>
    <mergeCell ref="A24:B24"/>
    <mergeCell ref="A1:O1"/>
    <mergeCell ref="A2:O2"/>
    <mergeCell ref="A3:O3"/>
    <mergeCell ref="A4:O4"/>
    <mergeCell ref="A15:B15"/>
  </mergeCells>
  <pageMargins left="0.7" right="0.7" top="0.75" bottom="0.75" header="0.3" footer="0.3"/>
  <pageSetup scale="6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2"/>
  <sheetViews>
    <sheetView zoomScale="120" zoomScaleNormal="120" workbookViewId="0">
      <selection activeCell="G19" sqref="G19"/>
    </sheetView>
  </sheetViews>
  <sheetFormatPr baseColWidth="10" defaultColWidth="11.42578125" defaultRowHeight="11.25" x14ac:dyDescent="0.25"/>
  <cols>
    <col min="1" max="1" width="11.42578125" style="20"/>
    <col min="2" max="2" width="9" style="28" customWidth="1"/>
    <col min="3" max="8" width="9" style="15" customWidth="1"/>
    <col min="9" max="9" width="9.28515625" style="15" customWidth="1"/>
    <col min="10" max="16384" width="11.42578125" style="15"/>
  </cols>
  <sheetData>
    <row r="1" spans="1:9" s="28" customFormat="1" x14ac:dyDescent="0.25">
      <c r="A1" s="369" t="s">
        <v>355</v>
      </c>
      <c r="B1" s="369"/>
      <c r="C1" s="369"/>
      <c r="D1" s="369"/>
      <c r="E1" s="369"/>
      <c r="F1" s="369"/>
      <c r="G1" s="369"/>
      <c r="H1" s="369"/>
      <c r="I1" s="369"/>
    </row>
    <row r="2" spans="1:9" s="28" customFormat="1" x14ac:dyDescent="0.25">
      <c r="A2" s="369" t="s">
        <v>414</v>
      </c>
      <c r="B2" s="369"/>
      <c r="C2" s="369"/>
      <c r="D2" s="369"/>
      <c r="E2" s="369"/>
      <c r="F2" s="369"/>
      <c r="G2" s="369"/>
      <c r="H2" s="369"/>
      <c r="I2" s="369"/>
    </row>
    <row r="3" spans="1:9" s="28" customFormat="1" x14ac:dyDescent="0.25">
      <c r="A3" s="17" t="s">
        <v>1</v>
      </c>
      <c r="B3" s="16" t="s">
        <v>2</v>
      </c>
      <c r="C3" s="16">
        <v>2013</v>
      </c>
      <c r="D3" s="16">
        <v>2014</v>
      </c>
      <c r="E3" s="128">
        <v>2015</v>
      </c>
      <c r="F3" s="128">
        <v>2016</v>
      </c>
      <c r="G3" s="128">
        <v>2017</v>
      </c>
      <c r="H3" s="128">
        <v>2018</v>
      </c>
      <c r="I3" s="128">
        <v>2019</v>
      </c>
    </row>
    <row r="4" spans="1:9" x14ac:dyDescent="0.25">
      <c r="A4" s="427" t="s">
        <v>434</v>
      </c>
      <c r="B4" s="134" t="s">
        <v>118</v>
      </c>
      <c r="C4" s="135">
        <f>6.122317+46.140054</f>
        <v>52.262371000000002</v>
      </c>
      <c r="D4" s="135">
        <f>9.196803+46.495055</f>
        <v>55.691857999999996</v>
      </c>
      <c r="E4" s="135">
        <f>9.378788+21.145378</f>
        <v>30.524166000000001</v>
      </c>
      <c r="F4" s="135">
        <f>7.995627+12.957691</f>
        <v>20.953317999999999</v>
      </c>
      <c r="G4" s="135">
        <f>7.262084+13.317518</f>
        <v>20.579602000000001</v>
      </c>
      <c r="H4" s="135">
        <f>6.541876+14.853936</f>
        <v>21.395811999999999</v>
      </c>
      <c r="I4" s="135">
        <f>4.875978+12.142321</f>
        <v>17.018298999999999</v>
      </c>
    </row>
    <row r="5" spans="1:9" x14ac:dyDescent="0.25">
      <c r="A5" s="427"/>
      <c r="B5" s="134" t="s">
        <v>119</v>
      </c>
      <c r="C5" s="135">
        <v>3.2388590000000002</v>
      </c>
      <c r="D5" s="135">
        <v>3.0607799999999998</v>
      </c>
      <c r="E5" s="135">
        <v>2.376169</v>
      </c>
      <c r="F5" s="135">
        <v>1.5414239999999999</v>
      </c>
      <c r="G5" s="135">
        <v>1.4436800000000001</v>
      </c>
      <c r="H5" s="135">
        <v>2.079742</v>
      </c>
      <c r="I5" s="135">
        <v>1.8321419999999999</v>
      </c>
    </row>
    <row r="6" spans="1:9" x14ac:dyDescent="0.25">
      <c r="A6" s="427"/>
      <c r="B6" s="134" t="s">
        <v>58</v>
      </c>
      <c r="C6" s="135">
        <v>2.4873409999999998</v>
      </c>
      <c r="D6" s="135">
        <v>2.5571069999999998</v>
      </c>
      <c r="E6" s="135">
        <v>0.81720199999999998</v>
      </c>
      <c r="F6" s="135">
        <v>0</v>
      </c>
      <c r="G6" s="135">
        <v>0</v>
      </c>
      <c r="H6" s="135">
        <v>0</v>
      </c>
      <c r="I6" s="135">
        <v>0</v>
      </c>
    </row>
    <row r="7" spans="1:9" x14ac:dyDescent="0.25">
      <c r="A7" s="426" t="s">
        <v>346</v>
      </c>
      <c r="B7" s="426"/>
      <c r="C7" s="154">
        <f>+SUM(C4:C6)</f>
        <v>57.988571</v>
      </c>
      <c r="D7" s="154">
        <f t="shared" ref="D7:I7" si="0">+SUM(D4:D6)</f>
        <v>61.309744999999999</v>
      </c>
      <c r="E7" s="154">
        <f t="shared" si="0"/>
        <v>33.717537</v>
      </c>
      <c r="F7" s="154">
        <f t="shared" si="0"/>
        <v>22.494741999999999</v>
      </c>
      <c r="G7" s="154">
        <f t="shared" si="0"/>
        <v>22.023282000000002</v>
      </c>
      <c r="H7" s="154">
        <f t="shared" si="0"/>
        <v>23.475553999999999</v>
      </c>
      <c r="I7" s="154">
        <f t="shared" si="0"/>
        <v>18.850441</v>
      </c>
    </row>
    <row r="8" spans="1:9" x14ac:dyDescent="0.25">
      <c r="A8" s="134" t="s">
        <v>114</v>
      </c>
      <c r="B8" s="134">
        <v>192</v>
      </c>
      <c r="C8" s="135">
        <v>0</v>
      </c>
      <c r="D8" s="135">
        <v>0</v>
      </c>
      <c r="E8" s="135">
        <v>18.897117999999999</v>
      </c>
      <c r="F8" s="135">
        <v>5.497865</v>
      </c>
      <c r="G8" s="135">
        <v>41.553438999999997</v>
      </c>
      <c r="H8" s="135">
        <v>124.380662</v>
      </c>
      <c r="I8" s="135">
        <v>101.484639</v>
      </c>
    </row>
    <row r="9" spans="1:9" x14ac:dyDescent="0.25">
      <c r="A9" s="426" t="s">
        <v>261</v>
      </c>
      <c r="B9" s="426"/>
      <c r="C9" s="154">
        <f>+C8</f>
        <v>0</v>
      </c>
      <c r="D9" s="154">
        <f t="shared" ref="D9:I9" si="1">+D8</f>
        <v>0</v>
      </c>
      <c r="E9" s="154">
        <f t="shared" si="1"/>
        <v>18.897117999999999</v>
      </c>
      <c r="F9" s="154">
        <f t="shared" si="1"/>
        <v>5.497865</v>
      </c>
      <c r="G9" s="154">
        <f t="shared" si="1"/>
        <v>41.553438999999997</v>
      </c>
      <c r="H9" s="154">
        <f t="shared" si="1"/>
        <v>124.380662</v>
      </c>
      <c r="I9" s="154">
        <f t="shared" si="1"/>
        <v>101.484639</v>
      </c>
    </row>
    <row r="10" spans="1:9" x14ac:dyDescent="0.25">
      <c r="A10" s="134" t="s">
        <v>435</v>
      </c>
      <c r="B10" s="134" t="s">
        <v>62</v>
      </c>
      <c r="C10" s="135">
        <f>13.014749+26.327136+330.455923</f>
        <v>369.79780799999997</v>
      </c>
      <c r="D10" s="135">
        <f>18.764151+24.982028+317.005887</f>
        <v>360.75206599999996</v>
      </c>
      <c r="E10" s="135">
        <f>9.83065+15.724013+144.536863</f>
        <v>170.09152600000002</v>
      </c>
      <c r="F10" s="135">
        <f>10.10401+14.065544+102.111665</f>
        <v>126.28121899999999</v>
      </c>
      <c r="G10" s="135">
        <f>12.939253+15.4548+124.596238</f>
        <v>152.99029100000001</v>
      </c>
      <c r="H10" s="135">
        <f>17.67365+18.210681+166.248316</f>
        <v>202.13264699999999</v>
      </c>
      <c r="I10" s="135">
        <f>18.560817+14.46423+140.883127</f>
        <v>173.908174</v>
      </c>
    </row>
    <row r="11" spans="1:9" x14ac:dyDescent="0.25">
      <c r="A11" s="354" t="s">
        <v>264</v>
      </c>
      <c r="B11" s="354"/>
      <c r="C11" s="151">
        <f>+C10</f>
        <v>369.79780799999997</v>
      </c>
      <c r="D11" s="151">
        <f t="shared" ref="D11:I11" si="2">+D10</f>
        <v>360.75206599999996</v>
      </c>
      <c r="E11" s="151">
        <f t="shared" si="2"/>
        <v>170.09152600000002</v>
      </c>
      <c r="F11" s="151">
        <f t="shared" si="2"/>
        <v>126.28121899999999</v>
      </c>
      <c r="G11" s="151">
        <f t="shared" si="2"/>
        <v>152.99029100000001</v>
      </c>
      <c r="H11" s="151">
        <f t="shared" si="2"/>
        <v>202.13264699999999</v>
      </c>
      <c r="I11" s="151">
        <f t="shared" si="2"/>
        <v>173.908174</v>
      </c>
    </row>
    <row r="12" spans="1:9" x14ac:dyDescent="0.25">
      <c r="A12" s="353" t="s">
        <v>356</v>
      </c>
      <c r="B12" s="353"/>
      <c r="C12" s="150">
        <f>+C7+C9+C11</f>
        <v>427.78637899999995</v>
      </c>
      <c r="D12" s="150">
        <f t="shared" ref="D12:I12" si="3">+D7+D9+D11</f>
        <v>422.06181099999998</v>
      </c>
      <c r="E12" s="150">
        <f t="shared" si="3"/>
        <v>222.70618100000002</v>
      </c>
      <c r="F12" s="150">
        <f t="shared" si="3"/>
        <v>154.27382599999999</v>
      </c>
      <c r="G12" s="150">
        <f t="shared" si="3"/>
        <v>216.56701200000001</v>
      </c>
      <c r="H12" s="150">
        <f t="shared" si="3"/>
        <v>349.98886299999998</v>
      </c>
      <c r="I12" s="150">
        <f t="shared" si="3"/>
        <v>294.24325399999998</v>
      </c>
    </row>
  </sheetData>
  <mergeCells count="7">
    <mergeCell ref="A12:B12"/>
    <mergeCell ref="A1:I1"/>
    <mergeCell ref="A2:I2"/>
    <mergeCell ref="A7:B7"/>
    <mergeCell ref="A9:B9"/>
    <mergeCell ref="A11:B11"/>
    <mergeCell ref="A4:A6"/>
  </mergeCells>
  <pageMargins left="0.7" right="0.7" top="0.75" bottom="0.75" header="0.3" footer="0.3"/>
  <pageSetup scale="6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2"/>
  <sheetViews>
    <sheetView workbookViewId="0">
      <selection activeCell="J21" sqref="J21"/>
    </sheetView>
  </sheetViews>
  <sheetFormatPr baseColWidth="10" defaultColWidth="11.42578125" defaultRowHeight="11.25" x14ac:dyDescent="0.25"/>
  <cols>
    <col min="1" max="1" width="11.42578125" style="20"/>
    <col min="2" max="9" width="10.42578125" style="15" customWidth="1"/>
    <col min="10" max="16384" width="11.42578125" style="15"/>
  </cols>
  <sheetData>
    <row r="1" spans="1:10" s="28" customFormat="1" ht="11.25" customHeight="1" x14ac:dyDescent="0.25">
      <c r="A1" s="369" t="s">
        <v>357</v>
      </c>
      <c r="B1" s="369"/>
      <c r="C1" s="369"/>
      <c r="D1" s="369"/>
      <c r="E1" s="369"/>
      <c r="F1" s="369"/>
      <c r="G1" s="369"/>
      <c r="H1" s="369"/>
      <c r="I1" s="369"/>
    </row>
    <row r="2" spans="1:10" s="28" customFormat="1" x14ac:dyDescent="0.25">
      <c r="A2" s="369">
        <v>2019</v>
      </c>
      <c r="B2" s="369"/>
      <c r="C2" s="369"/>
      <c r="D2" s="369"/>
      <c r="E2" s="369"/>
      <c r="F2" s="369"/>
      <c r="G2" s="369"/>
      <c r="H2" s="369"/>
      <c r="I2" s="369"/>
    </row>
    <row r="3" spans="1:10" s="28" customFormat="1" x14ac:dyDescent="0.25">
      <c r="A3" s="17"/>
      <c r="B3" s="16">
        <v>2012</v>
      </c>
      <c r="C3" s="16">
        <v>2013</v>
      </c>
      <c r="D3" s="16">
        <v>2014</v>
      </c>
      <c r="E3" s="16">
        <v>2015</v>
      </c>
      <c r="F3" s="16">
        <v>2016</v>
      </c>
      <c r="G3" s="16">
        <v>2017</v>
      </c>
      <c r="H3" s="16">
        <v>2018</v>
      </c>
      <c r="I3" s="87">
        <v>2019</v>
      </c>
    </row>
    <row r="4" spans="1:10" x14ac:dyDescent="0.25">
      <c r="A4" s="18" t="s">
        <v>358</v>
      </c>
      <c r="B4" s="2">
        <v>754.46</v>
      </c>
      <c r="C4" s="2">
        <v>654.72</v>
      </c>
      <c r="D4" s="2">
        <v>584.16</v>
      </c>
      <c r="E4" s="2">
        <v>207.23</v>
      </c>
      <c r="F4" s="2">
        <v>120.19</v>
      </c>
      <c r="G4" s="2">
        <v>171.31</v>
      </c>
      <c r="H4" s="2">
        <v>284.69</v>
      </c>
      <c r="I4" s="132">
        <f>199.86+58.74</f>
        <v>258.60000000000002</v>
      </c>
    </row>
    <row r="5" spans="1:10" ht="22.5" x14ac:dyDescent="0.25">
      <c r="A5" s="18" t="s">
        <v>359</v>
      </c>
      <c r="B5" s="2">
        <v>786.23</v>
      </c>
      <c r="C5" s="2">
        <v>910.23</v>
      </c>
      <c r="D5" s="2">
        <v>806.05</v>
      </c>
      <c r="E5" s="2">
        <v>306.13</v>
      </c>
      <c r="F5" s="2">
        <v>283.14</v>
      </c>
      <c r="G5" s="2">
        <v>393.41</v>
      </c>
      <c r="H5" s="2">
        <v>441.52</v>
      </c>
      <c r="I5" s="132">
        <f>302.39+2.75</f>
        <v>305.14</v>
      </c>
    </row>
    <row r="6" spans="1:10" x14ac:dyDescent="0.25">
      <c r="A6" s="18" t="s">
        <v>360</v>
      </c>
      <c r="B6" s="2">
        <v>459.09</v>
      </c>
      <c r="C6" s="2">
        <v>455.99</v>
      </c>
      <c r="D6" s="2">
        <v>300.42</v>
      </c>
      <c r="E6" s="2">
        <v>255.6</v>
      </c>
      <c r="F6" s="2">
        <v>256.89999999999998</v>
      </c>
      <c r="G6" s="2">
        <v>264.11</v>
      </c>
      <c r="H6" s="2">
        <v>366.73</v>
      </c>
      <c r="I6" s="132">
        <f>271.1+2.35</f>
        <v>273.45000000000005</v>
      </c>
    </row>
    <row r="7" spans="1:10" x14ac:dyDescent="0.25">
      <c r="A7" s="18" t="s">
        <v>361</v>
      </c>
      <c r="B7" s="2">
        <v>0</v>
      </c>
      <c r="C7" s="2">
        <v>0</v>
      </c>
      <c r="D7" s="2">
        <v>0</v>
      </c>
      <c r="E7" s="2">
        <v>1.4E-3</v>
      </c>
      <c r="F7" s="2">
        <v>2.46E-2</v>
      </c>
      <c r="G7" s="2">
        <v>0</v>
      </c>
      <c r="H7" s="2">
        <v>0</v>
      </c>
      <c r="I7" s="89">
        <v>0</v>
      </c>
    </row>
    <row r="8" spans="1:10" ht="22.5" x14ac:dyDescent="0.25">
      <c r="A8" s="17" t="s">
        <v>362</v>
      </c>
      <c r="B8" s="9">
        <v>1999.78</v>
      </c>
      <c r="C8" s="9">
        <v>2020.94</v>
      </c>
      <c r="D8" s="9">
        <v>1690.63</v>
      </c>
      <c r="E8" s="9">
        <v>768.96140000000003</v>
      </c>
      <c r="F8" s="9">
        <v>660.25459999999998</v>
      </c>
      <c r="G8" s="9">
        <v>828.83</v>
      </c>
      <c r="H8" s="9">
        <v>1092.93</v>
      </c>
      <c r="I8" s="91">
        <f>+SUM(I4:I7)</f>
        <v>837.19</v>
      </c>
      <c r="J8" s="237">
        <f>+I8/H8-1</f>
        <v>-0.23399485785914931</v>
      </c>
    </row>
    <row r="12" spans="1:10" ht="15" x14ac:dyDescent="0.25">
      <c r="B12" s="228" t="s">
        <v>515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2"/>
  <sheetViews>
    <sheetView workbookViewId="0">
      <selection activeCell="J10" sqref="J10"/>
    </sheetView>
  </sheetViews>
  <sheetFormatPr baseColWidth="10" defaultColWidth="11.42578125" defaultRowHeight="15" x14ac:dyDescent="0.2"/>
  <cols>
    <col min="1" max="1" width="12.28515625" style="10" customWidth="1"/>
    <col min="2" max="2" width="24.42578125" style="20" customWidth="1"/>
    <col min="3" max="3" width="11.5703125" style="15" bestFit="1" customWidth="1"/>
    <col min="4" max="4" width="15.7109375" style="15" customWidth="1"/>
    <col min="5" max="16384" width="11.42578125" style="76"/>
  </cols>
  <sheetData>
    <row r="1" spans="1:4" s="81" customFormat="1" ht="14.45" customHeight="1" x14ac:dyDescent="0.25">
      <c r="A1" s="369" t="s">
        <v>415</v>
      </c>
      <c r="B1" s="369"/>
      <c r="C1" s="369"/>
      <c r="D1" s="369"/>
    </row>
    <row r="2" spans="1:4" s="81" customFormat="1" ht="22.5" x14ac:dyDescent="0.25">
      <c r="A2" s="16">
        <v>1</v>
      </c>
      <c r="B2" s="16" t="s">
        <v>363</v>
      </c>
      <c r="C2" s="16" t="s">
        <v>364</v>
      </c>
      <c r="D2" s="16" t="s">
        <v>365</v>
      </c>
    </row>
    <row r="3" spans="1:4" ht="14.45" customHeight="1" x14ac:dyDescent="0.2">
      <c r="A3" s="82" t="s">
        <v>366</v>
      </c>
      <c r="B3" s="18" t="s">
        <v>368</v>
      </c>
      <c r="C3" s="2"/>
      <c r="D3" s="61">
        <v>24100000</v>
      </c>
    </row>
    <row r="4" spans="1:4" ht="14.45" customHeight="1" x14ac:dyDescent="0.25">
      <c r="A4" s="428" t="s">
        <v>367</v>
      </c>
      <c r="B4" s="18" t="s">
        <v>369</v>
      </c>
      <c r="C4" s="2">
        <v>52</v>
      </c>
      <c r="D4" s="61">
        <v>63528329.659999989</v>
      </c>
    </row>
    <row r="5" spans="1:4" ht="22.5" x14ac:dyDescent="0.25">
      <c r="A5" s="428"/>
      <c r="B5" s="18" t="s">
        <v>370</v>
      </c>
      <c r="C5" s="2">
        <v>5</v>
      </c>
      <c r="D5" s="61">
        <v>6108493.2600000007</v>
      </c>
    </row>
    <row r="6" spans="1:4" ht="14.45" customHeight="1" x14ac:dyDescent="0.2">
      <c r="A6" s="83"/>
      <c r="B6" s="18" t="s">
        <v>371</v>
      </c>
      <c r="C6" s="2">
        <v>3</v>
      </c>
      <c r="D6" s="61">
        <v>3665095.94</v>
      </c>
    </row>
    <row r="7" spans="1:4" ht="14.45" customHeight="1" x14ac:dyDescent="0.2">
      <c r="A7" s="83"/>
      <c r="B7" s="18" t="s">
        <v>372</v>
      </c>
      <c r="C7" s="2">
        <v>40</v>
      </c>
      <c r="D7" s="61">
        <v>48867945.899999999</v>
      </c>
    </row>
    <row r="8" spans="1:4" ht="14.45" customHeight="1" x14ac:dyDescent="0.2">
      <c r="A8" s="83"/>
      <c r="B8" s="168" t="s">
        <v>373</v>
      </c>
      <c r="C8" s="169">
        <v>100</v>
      </c>
      <c r="D8" s="170">
        <f>+SUM(D3:D7)</f>
        <v>146269864.75999999</v>
      </c>
    </row>
    <row r="9" spans="1:4" ht="14.45" customHeight="1" x14ac:dyDescent="0.2">
      <c r="A9" s="22" t="s">
        <v>374</v>
      </c>
      <c r="B9" s="19" t="s">
        <v>376</v>
      </c>
      <c r="C9" s="3" t="s">
        <v>377</v>
      </c>
      <c r="D9" s="167">
        <v>21422379.34</v>
      </c>
    </row>
    <row r="10" spans="1:4" ht="33.75" x14ac:dyDescent="0.2">
      <c r="A10" s="22" t="s">
        <v>375</v>
      </c>
      <c r="B10" s="19" t="s">
        <v>378</v>
      </c>
      <c r="C10" s="3" t="s">
        <v>379</v>
      </c>
      <c r="D10" s="167">
        <v>431157.64999999997</v>
      </c>
    </row>
    <row r="11" spans="1:4" ht="22.5" x14ac:dyDescent="0.2">
      <c r="A11" s="84"/>
      <c r="B11" s="19" t="s">
        <v>380</v>
      </c>
      <c r="C11" s="3">
        <v>2.5</v>
      </c>
      <c r="D11" s="167">
        <v>1251028.58</v>
      </c>
    </row>
    <row r="12" spans="1:4" ht="22.5" x14ac:dyDescent="0.2">
      <c r="A12" s="84"/>
      <c r="B12" s="19" t="s">
        <v>381</v>
      </c>
      <c r="C12" s="3">
        <v>2.5</v>
      </c>
      <c r="D12" s="167">
        <v>1251028.58</v>
      </c>
    </row>
    <row r="13" spans="1:4" ht="14.45" customHeight="1" x14ac:dyDescent="0.2">
      <c r="A13" s="84"/>
      <c r="B13" s="19" t="s">
        <v>371</v>
      </c>
      <c r="C13" s="166" t="s">
        <v>436</v>
      </c>
      <c r="D13" s="167">
        <v>1357515.07</v>
      </c>
    </row>
    <row r="14" spans="1:4" ht="14.45" customHeight="1" x14ac:dyDescent="0.2">
      <c r="A14" s="84"/>
      <c r="B14" s="19" t="s">
        <v>372</v>
      </c>
      <c r="C14" s="3" t="s">
        <v>382</v>
      </c>
      <c r="D14" s="167">
        <v>24328033.779999997</v>
      </c>
    </row>
    <row r="15" spans="1:4" ht="14.45" customHeight="1" x14ac:dyDescent="0.2">
      <c r="A15" s="84"/>
      <c r="B15" s="86" t="s">
        <v>383</v>
      </c>
      <c r="C15" s="24"/>
      <c r="D15" s="80">
        <f>+SUM(D9:D14)</f>
        <v>50041143</v>
      </c>
    </row>
    <row r="16" spans="1:4" ht="14.45" customHeight="1" x14ac:dyDescent="0.2">
      <c r="A16" s="82" t="s">
        <v>384</v>
      </c>
      <c r="B16" s="18" t="s">
        <v>369</v>
      </c>
      <c r="C16" s="2">
        <v>20</v>
      </c>
      <c r="D16" s="61">
        <v>82437756.890000001</v>
      </c>
    </row>
    <row r="17" spans="1:4" ht="22.5" x14ac:dyDescent="0.2">
      <c r="A17" s="82" t="s">
        <v>385</v>
      </c>
      <c r="B17" s="18" t="s">
        <v>386</v>
      </c>
      <c r="C17" s="2">
        <v>2.5</v>
      </c>
      <c r="D17" s="130">
        <v>10304719.619999999</v>
      </c>
    </row>
    <row r="18" spans="1:4" ht="22.5" x14ac:dyDescent="0.2">
      <c r="A18" s="83"/>
      <c r="B18" s="18" t="s">
        <v>387</v>
      </c>
      <c r="C18" s="2">
        <v>2.5</v>
      </c>
      <c r="D18" s="130">
        <v>10304719.619999999</v>
      </c>
    </row>
    <row r="19" spans="1:4" ht="14.45" customHeight="1" x14ac:dyDescent="0.2">
      <c r="A19" s="83"/>
      <c r="B19" s="18" t="s">
        <v>388</v>
      </c>
      <c r="C19" s="2">
        <v>5</v>
      </c>
      <c r="D19" s="61">
        <v>20609439.23</v>
      </c>
    </row>
    <row r="20" spans="1:4" ht="14.45" customHeight="1" x14ac:dyDescent="0.2">
      <c r="A20" s="83"/>
      <c r="B20" s="18" t="s">
        <v>372</v>
      </c>
      <c r="C20" s="2">
        <v>70</v>
      </c>
      <c r="D20" s="61">
        <v>288532149.33999997</v>
      </c>
    </row>
    <row r="21" spans="1:4" ht="14.45" customHeight="1" x14ac:dyDescent="0.2">
      <c r="A21" s="172"/>
      <c r="B21" s="173" t="s">
        <v>389</v>
      </c>
      <c r="C21" s="174">
        <v>100</v>
      </c>
      <c r="D21" s="175">
        <f>+SUM(D16:D20)</f>
        <v>412188784.69999999</v>
      </c>
    </row>
    <row r="22" spans="1:4" ht="14.45" customHeight="1" x14ac:dyDescent="0.2">
      <c r="A22" s="22" t="s">
        <v>390</v>
      </c>
      <c r="B22" s="19" t="s">
        <v>369</v>
      </c>
      <c r="C22" s="3" t="s">
        <v>392</v>
      </c>
      <c r="D22" s="79">
        <v>26569897.93</v>
      </c>
    </row>
    <row r="23" spans="1:4" ht="14.45" customHeight="1" x14ac:dyDescent="0.2">
      <c r="A23" s="22" t="s">
        <v>391</v>
      </c>
      <c r="B23" s="19" t="s">
        <v>393</v>
      </c>
      <c r="C23" s="3">
        <v>5</v>
      </c>
      <c r="D23" s="79">
        <v>5873383.0499999998</v>
      </c>
    </row>
    <row r="24" spans="1:4" ht="14.45" customHeight="1" x14ac:dyDescent="0.2">
      <c r="A24" s="84"/>
      <c r="B24" s="19" t="s">
        <v>388</v>
      </c>
      <c r="C24" s="3">
        <v>5</v>
      </c>
      <c r="D24" s="79">
        <v>5873383.0499999998</v>
      </c>
    </row>
    <row r="25" spans="1:4" ht="14.45" customHeight="1" x14ac:dyDescent="0.2">
      <c r="A25" s="84"/>
      <c r="B25" s="19" t="s">
        <v>372</v>
      </c>
      <c r="C25" s="3" t="s">
        <v>394</v>
      </c>
      <c r="D25" s="79">
        <v>79150996.689999998</v>
      </c>
    </row>
    <row r="26" spans="1:4" ht="14.45" customHeight="1" x14ac:dyDescent="0.2">
      <c r="A26" s="84"/>
      <c r="B26" s="86" t="s">
        <v>395</v>
      </c>
      <c r="C26" s="3"/>
      <c r="D26" s="80">
        <f>+SUM(D22:D25)</f>
        <v>117467660.72</v>
      </c>
    </row>
    <row r="27" spans="1:4" ht="14.45" customHeight="1" x14ac:dyDescent="0.25">
      <c r="A27" s="428" t="s">
        <v>396</v>
      </c>
      <c r="B27" s="18" t="s">
        <v>372</v>
      </c>
      <c r="C27" s="2">
        <v>100</v>
      </c>
      <c r="D27" s="61">
        <v>28362223.202000007</v>
      </c>
    </row>
    <row r="28" spans="1:4" ht="20.25" customHeight="1" x14ac:dyDescent="0.25">
      <c r="A28" s="428"/>
      <c r="B28" s="85" t="s">
        <v>397</v>
      </c>
      <c r="C28" s="77">
        <v>100</v>
      </c>
      <c r="D28" s="78">
        <f>+D27</f>
        <v>28362223.202000007</v>
      </c>
    </row>
    <row r="29" spans="1:4" ht="14.45" customHeight="1" x14ac:dyDescent="0.2">
      <c r="A29" s="22" t="s">
        <v>398</v>
      </c>
      <c r="B29" s="19" t="s">
        <v>369</v>
      </c>
      <c r="C29" s="3">
        <v>25</v>
      </c>
      <c r="D29" s="79">
        <v>230275522.82999995</v>
      </c>
    </row>
    <row r="30" spans="1:4" ht="14.45" customHeight="1" x14ac:dyDescent="0.2">
      <c r="A30" s="22" t="s">
        <v>399</v>
      </c>
      <c r="B30" s="19" t="s">
        <v>372</v>
      </c>
      <c r="C30" s="3">
        <v>75</v>
      </c>
      <c r="D30" s="79">
        <v>690826568.36000001</v>
      </c>
    </row>
    <row r="31" spans="1:4" ht="14.45" customHeight="1" x14ac:dyDescent="0.2">
      <c r="A31" s="84"/>
      <c r="B31" s="86" t="s">
        <v>400</v>
      </c>
      <c r="C31" s="24">
        <v>100</v>
      </c>
      <c r="D31" s="80">
        <f>+SUM(D29:D30)</f>
        <v>921102091.18999994</v>
      </c>
    </row>
    <row r="32" spans="1:4" ht="14.45" customHeight="1" x14ac:dyDescent="0.25">
      <c r="A32" s="422" t="s">
        <v>126</v>
      </c>
      <c r="B32" s="422"/>
      <c r="C32" s="422"/>
      <c r="D32" s="171">
        <f>SUM(D8+D15+D21+D26+D28+D31)</f>
        <v>1675431767.572</v>
      </c>
    </row>
  </sheetData>
  <mergeCells count="4">
    <mergeCell ref="A1:D1"/>
    <mergeCell ref="A27:A28"/>
    <mergeCell ref="A32:C32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5"/>
  <sheetViews>
    <sheetView topLeftCell="A16" workbookViewId="0">
      <selection activeCell="C19" sqref="C19"/>
    </sheetView>
  </sheetViews>
  <sheetFormatPr baseColWidth="10" defaultRowHeight="15" x14ac:dyDescent="0.25"/>
  <cols>
    <col min="1" max="1" width="17.28515625" style="15" customWidth="1"/>
    <col min="2" max="2" width="9.5703125" style="28" customWidth="1"/>
    <col min="3" max="10" width="9.5703125" style="15" customWidth="1"/>
  </cols>
  <sheetData>
    <row r="1" spans="1:10" s="25" customFormat="1" ht="14.45" customHeight="1" x14ac:dyDescent="0.25">
      <c r="A1" s="355" t="s">
        <v>401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25" customFormat="1" ht="14.45" customHeight="1" x14ac:dyDescent="0.25">
      <c r="A2" s="355" t="s">
        <v>404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s="25" customFormat="1" ht="14.45" customHeight="1" x14ac:dyDescent="0.25">
      <c r="A3" s="16" t="s">
        <v>1</v>
      </c>
      <c r="B3" s="29" t="s">
        <v>2</v>
      </c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29">
        <v>2019</v>
      </c>
    </row>
    <row r="4" spans="1:10" ht="14.45" customHeight="1" x14ac:dyDescent="0.25">
      <c r="A4" s="354" t="s">
        <v>9</v>
      </c>
      <c r="B4" s="354"/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13">
        <v>0</v>
      </c>
    </row>
    <row r="5" spans="1:10" ht="14.45" customHeight="1" x14ac:dyDescent="0.25">
      <c r="A5" s="18" t="s">
        <v>36</v>
      </c>
      <c r="B5" s="30" t="s">
        <v>37</v>
      </c>
      <c r="C5" s="2" t="s">
        <v>38</v>
      </c>
      <c r="D5" s="2">
        <v>429</v>
      </c>
      <c r="E5" s="2" t="s">
        <v>159</v>
      </c>
      <c r="F5" s="2" t="s">
        <v>159</v>
      </c>
      <c r="G5" s="2" t="s">
        <v>159</v>
      </c>
      <c r="H5" s="2" t="s">
        <v>159</v>
      </c>
      <c r="I5" s="2" t="s">
        <v>159</v>
      </c>
      <c r="J5" s="33" t="s">
        <v>159</v>
      </c>
    </row>
    <row r="6" spans="1:10" ht="14.45" customHeight="1" x14ac:dyDescent="0.25">
      <c r="A6" s="19" t="s">
        <v>10</v>
      </c>
      <c r="B6" s="31" t="s">
        <v>11</v>
      </c>
      <c r="C6" s="3" t="s">
        <v>159</v>
      </c>
      <c r="D6" s="3" t="s">
        <v>159</v>
      </c>
      <c r="E6" s="3">
        <v>273</v>
      </c>
      <c r="F6" s="3" t="s">
        <v>159</v>
      </c>
      <c r="G6" s="3" t="s">
        <v>159</v>
      </c>
      <c r="H6" s="3" t="s">
        <v>159</v>
      </c>
      <c r="I6" s="3" t="s">
        <v>159</v>
      </c>
      <c r="J6" s="35" t="s">
        <v>159</v>
      </c>
    </row>
    <row r="7" spans="1:10" ht="14.45" customHeight="1" x14ac:dyDescent="0.25">
      <c r="A7" s="18" t="s">
        <v>10</v>
      </c>
      <c r="B7" s="30" t="s">
        <v>39</v>
      </c>
      <c r="C7" s="2">
        <v>871</v>
      </c>
      <c r="D7" s="2" t="s">
        <v>40</v>
      </c>
      <c r="E7" s="2" t="s">
        <v>159</v>
      </c>
      <c r="F7" s="2" t="s">
        <v>159</v>
      </c>
      <c r="G7" s="2" t="s">
        <v>159</v>
      </c>
      <c r="H7" s="2" t="s">
        <v>159</v>
      </c>
      <c r="I7" s="2" t="s">
        <v>159</v>
      </c>
      <c r="J7" s="33" t="s">
        <v>159</v>
      </c>
    </row>
    <row r="8" spans="1:10" ht="14.45" customHeight="1" x14ac:dyDescent="0.25">
      <c r="A8" s="19" t="s">
        <v>10</v>
      </c>
      <c r="B8" s="31" t="s">
        <v>41</v>
      </c>
      <c r="C8" s="3">
        <v>1</v>
      </c>
      <c r="D8" s="3" t="s">
        <v>159</v>
      </c>
      <c r="E8" s="3" t="s">
        <v>159</v>
      </c>
      <c r="F8" s="3" t="s">
        <v>159</v>
      </c>
      <c r="G8" s="3" t="s">
        <v>159</v>
      </c>
      <c r="H8" s="3" t="s">
        <v>159</v>
      </c>
      <c r="I8" s="3" t="s">
        <v>159</v>
      </c>
      <c r="J8" s="35" t="s">
        <v>159</v>
      </c>
    </row>
    <row r="9" spans="1:10" ht="14.45" customHeight="1" x14ac:dyDescent="0.25">
      <c r="A9" s="18" t="s">
        <v>12</v>
      </c>
      <c r="B9" s="30" t="s">
        <v>14</v>
      </c>
      <c r="C9" s="2" t="s">
        <v>159</v>
      </c>
      <c r="D9" s="2" t="s">
        <v>159</v>
      </c>
      <c r="E9" s="2" t="s">
        <v>159</v>
      </c>
      <c r="F9" s="2" t="s">
        <v>159</v>
      </c>
      <c r="G9" s="2" t="s">
        <v>159</v>
      </c>
      <c r="H9" s="2" t="s">
        <v>159</v>
      </c>
      <c r="I9" s="2" t="s">
        <v>159</v>
      </c>
      <c r="J9" s="33" t="s">
        <v>159</v>
      </c>
    </row>
    <row r="10" spans="1:10" ht="14.45" customHeight="1" x14ac:dyDescent="0.25">
      <c r="A10" s="354" t="s">
        <v>20</v>
      </c>
      <c r="B10" s="354"/>
      <c r="C10" s="8" t="s">
        <v>42</v>
      </c>
      <c r="D10" s="8" t="s">
        <v>43</v>
      </c>
      <c r="E10" s="8">
        <v>273</v>
      </c>
      <c r="F10" s="8">
        <v>0</v>
      </c>
      <c r="G10" s="8">
        <v>0</v>
      </c>
      <c r="H10" s="8">
        <v>0</v>
      </c>
      <c r="I10" s="8">
        <v>0</v>
      </c>
      <c r="J10" s="13">
        <v>0</v>
      </c>
    </row>
    <row r="11" spans="1:10" ht="14.45" customHeight="1" x14ac:dyDescent="0.25">
      <c r="A11" s="18" t="s">
        <v>29</v>
      </c>
      <c r="B11" s="30">
        <v>57</v>
      </c>
      <c r="C11" s="2" t="s">
        <v>159</v>
      </c>
      <c r="D11" s="2" t="s">
        <v>159</v>
      </c>
      <c r="E11" s="2">
        <v>211</v>
      </c>
      <c r="F11" s="2" t="s">
        <v>159</v>
      </c>
      <c r="G11" s="33" t="s">
        <v>159</v>
      </c>
      <c r="H11" s="33" t="s">
        <v>159</v>
      </c>
      <c r="I11" s="33" t="s">
        <v>159</v>
      </c>
      <c r="J11" s="23" t="s">
        <v>159</v>
      </c>
    </row>
    <row r="12" spans="1:10" ht="14.45" customHeight="1" x14ac:dyDescent="0.25">
      <c r="A12" s="354" t="s">
        <v>30</v>
      </c>
      <c r="B12" s="354"/>
      <c r="C12" s="8">
        <v>0</v>
      </c>
      <c r="D12" s="8">
        <v>0</v>
      </c>
      <c r="E12" s="8">
        <v>211</v>
      </c>
      <c r="F12" s="8">
        <v>0</v>
      </c>
      <c r="G12" s="8">
        <v>0</v>
      </c>
      <c r="H12" s="8">
        <v>0</v>
      </c>
      <c r="I12" s="8">
        <v>0</v>
      </c>
      <c r="J12" s="13">
        <v>0</v>
      </c>
    </row>
    <row r="13" spans="1:10" ht="14.45" customHeight="1" x14ac:dyDescent="0.25">
      <c r="A13" s="353" t="s">
        <v>32</v>
      </c>
      <c r="B13" s="353"/>
      <c r="C13" s="9" t="s">
        <v>42</v>
      </c>
      <c r="D13" s="9" t="s">
        <v>43</v>
      </c>
      <c r="E13" s="9">
        <v>484</v>
      </c>
      <c r="F13" s="9">
        <v>0</v>
      </c>
      <c r="G13" s="9">
        <v>0</v>
      </c>
      <c r="H13" s="9">
        <v>0</v>
      </c>
      <c r="I13" s="9">
        <v>0</v>
      </c>
      <c r="J13" s="14">
        <v>0</v>
      </c>
    </row>
    <row r="17" spans="2:4" x14ac:dyDescent="0.25">
      <c r="B17" s="20"/>
      <c r="C17" s="20" t="s">
        <v>520</v>
      </c>
    </row>
    <row r="18" spans="2:4" x14ac:dyDescent="0.25">
      <c r="B18" s="20"/>
      <c r="C18" s="205"/>
    </row>
    <row r="19" spans="2:4" x14ac:dyDescent="0.25">
      <c r="B19" s="20"/>
      <c r="C19" s="205" t="s">
        <v>517</v>
      </c>
      <c r="D19" s="238">
        <f>H13+I13+J13</f>
        <v>0</v>
      </c>
    </row>
    <row r="20" spans="2:4" x14ac:dyDescent="0.25">
      <c r="B20" s="20"/>
      <c r="C20" s="205">
        <v>2020</v>
      </c>
      <c r="D20" s="238">
        <v>0</v>
      </c>
    </row>
    <row r="21" spans="2:4" x14ac:dyDescent="0.25">
      <c r="B21" s="20"/>
      <c r="C21" s="205">
        <v>2021</v>
      </c>
      <c r="D21" s="238">
        <v>1000</v>
      </c>
    </row>
    <row r="22" spans="2:4" x14ac:dyDescent="0.25">
      <c r="B22" s="20"/>
      <c r="C22" s="205">
        <v>2022</v>
      </c>
      <c r="D22" s="238">
        <v>0</v>
      </c>
    </row>
    <row r="23" spans="2:4" x14ac:dyDescent="0.25">
      <c r="B23" s="20"/>
      <c r="C23" s="205" t="s">
        <v>518</v>
      </c>
      <c r="D23" s="238">
        <f>+D20+D21+D22</f>
        <v>1000</v>
      </c>
    </row>
    <row r="24" spans="2:4" x14ac:dyDescent="0.25">
      <c r="B24" s="20"/>
      <c r="C24" s="205"/>
    </row>
    <row r="25" spans="2:4" x14ac:dyDescent="0.25">
      <c r="B25" s="20"/>
      <c r="C25" s="205" t="s">
        <v>519</v>
      </c>
    </row>
  </sheetData>
  <mergeCells count="6">
    <mergeCell ref="A13:B13"/>
    <mergeCell ref="A4:B4"/>
    <mergeCell ref="A10:B10"/>
    <mergeCell ref="A12:B12"/>
    <mergeCell ref="A1:J1"/>
    <mergeCell ref="A2:J2"/>
  </mergeCells>
  <pageMargins left="0.7" right="0.7" top="0.75" bottom="0.75" header="0.3" footer="0.3"/>
  <pageSetup scale="96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topLeftCell="A22" zoomScaleNormal="100" workbookViewId="0">
      <selection activeCell="O46" sqref="O46"/>
    </sheetView>
  </sheetViews>
  <sheetFormatPr baseColWidth="10" defaultRowHeight="15" x14ac:dyDescent="0.25"/>
  <cols>
    <col min="1" max="9" width="11.42578125" style="253"/>
  </cols>
  <sheetData>
    <row r="1" spans="1:9" ht="14.45" customHeight="1" x14ac:dyDescent="0.25">
      <c r="A1" s="435" t="s">
        <v>522</v>
      </c>
      <c r="B1" s="435"/>
      <c r="C1" s="435"/>
      <c r="D1" s="242" t="s">
        <v>523</v>
      </c>
      <c r="E1" s="242" t="s">
        <v>524</v>
      </c>
      <c r="F1" s="242" t="s">
        <v>525</v>
      </c>
      <c r="G1" s="242" t="s">
        <v>526</v>
      </c>
      <c r="H1" s="242" t="s">
        <v>527</v>
      </c>
      <c r="I1" s="242" t="s">
        <v>528</v>
      </c>
    </row>
    <row r="2" spans="1:9" ht="14.45" customHeight="1" x14ac:dyDescent="0.25">
      <c r="A2" s="429" t="s">
        <v>529</v>
      </c>
      <c r="B2" s="429"/>
      <c r="C2" s="429"/>
      <c r="D2" s="243">
        <v>16394.209000000003</v>
      </c>
      <c r="E2" s="243">
        <v>11979.507</v>
      </c>
      <c r="F2" s="243">
        <v>3111.7780000000002</v>
      </c>
      <c r="G2" s="243">
        <v>190.584</v>
      </c>
      <c r="H2" s="243">
        <v>1112.3400000000001</v>
      </c>
      <c r="I2" s="243">
        <v>0</v>
      </c>
    </row>
    <row r="3" spans="1:9" ht="14.45" customHeight="1" x14ac:dyDescent="0.25">
      <c r="A3" s="429" t="s">
        <v>530</v>
      </c>
      <c r="B3" s="429"/>
      <c r="C3" s="429"/>
      <c r="D3" s="243">
        <v>38349.034999999996</v>
      </c>
      <c r="E3" s="243">
        <v>6005.1729999999998</v>
      </c>
      <c r="F3" s="243">
        <v>0</v>
      </c>
      <c r="G3" s="243">
        <v>1717.6320000000001</v>
      </c>
      <c r="H3" s="243">
        <v>30626.229999999996</v>
      </c>
      <c r="I3" s="243">
        <v>0</v>
      </c>
    </row>
    <row r="4" spans="1:9" ht="14.45" customHeight="1" x14ac:dyDescent="0.25">
      <c r="A4" s="436" t="s">
        <v>531</v>
      </c>
      <c r="B4" s="436"/>
      <c r="C4" s="436"/>
      <c r="D4" s="244">
        <f>+D2+D3</f>
        <v>54743.243999999999</v>
      </c>
      <c r="E4" s="244">
        <f t="shared" ref="E4:I4" si="0">+E2+E3</f>
        <v>17984.68</v>
      </c>
      <c r="F4" s="244">
        <f t="shared" si="0"/>
        <v>3111.7780000000002</v>
      </c>
      <c r="G4" s="244">
        <f t="shared" si="0"/>
        <v>1908.2160000000001</v>
      </c>
      <c r="H4" s="244">
        <f t="shared" si="0"/>
        <v>31738.569999999996</v>
      </c>
      <c r="I4" s="244">
        <f t="shared" si="0"/>
        <v>0</v>
      </c>
    </row>
    <row r="5" spans="1:9" ht="14.45" customHeight="1" x14ac:dyDescent="0.25">
      <c r="A5" s="435" t="s">
        <v>532</v>
      </c>
      <c r="B5" s="435"/>
      <c r="C5" s="435"/>
      <c r="D5" s="245"/>
      <c r="E5" s="245"/>
      <c r="F5" s="245"/>
      <c r="G5" s="245"/>
      <c r="H5" s="245"/>
      <c r="I5" s="245"/>
    </row>
    <row r="6" spans="1:9" ht="14.45" customHeight="1" x14ac:dyDescent="0.25">
      <c r="A6" s="434" t="s">
        <v>533</v>
      </c>
      <c r="B6" s="434"/>
      <c r="C6" s="434"/>
      <c r="D6" s="246"/>
      <c r="E6" s="246"/>
      <c r="F6" s="246"/>
      <c r="G6" s="246"/>
      <c r="H6" s="246"/>
      <c r="I6" s="246"/>
    </row>
    <row r="7" spans="1:9" ht="14.45" customHeight="1" x14ac:dyDescent="0.25">
      <c r="A7" s="429" t="s">
        <v>534</v>
      </c>
      <c r="B7" s="429"/>
      <c r="C7" s="429"/>
      <c r="D7" s="243">
        <v>456.22500000000002</v>
      </c>
      <c r="E7" s="243">
        <v>245.46899999999999</v>
      </c>
      <c r="F7" s="243">
        <v>1.1559999999999999</v>
      </c>
      <c r="G7" s="243">
        <v>209.6</v>
      </c>
      <c r="H7" s="243">
        <v>0</v>
      </c>
      <c r="I7" s="243">
        <v>0</v>
      </c>
    </row>
    <row r="8" spans="1:9" ht="14.45" customHeight="1" x14ac:dyDescent="0.25">
      <c r="A8" s="429" t="s">
        <v>535</v>
      </c>
      <c r="B8" s="429"/>
      <c r="C8" s="429"/>
      <c r="D8" s="243">
        <v>33.248999999999995</v>
      </c>
      <c r="E8" s="243">
        <v>2.8349999999999995</v>
      </c>
      <c r="F8" s="243">
        <v>0</v>
      </c>
      <c r="G8" s="243">
        <v>30.413999999999994</v>
      </c>
      <c r="H8" s="243">
        <v>0</v>
      </c>
      <c r="I8" s="243">
        <v>0</v>
      </c>
    </row>
    <row r="9" spans="1:9" ht="14.45" customHeight="1" x14ac:dyDescent="0.25">
      <c r="A9" s="429" t="s">
        <v>536</v>
      </c>
      <c r="B9" s="429"/>
      <c r="C9" s="429"/>
      <c r="D9" s="243">
        <v>368.32</v>
      </c>
      <c r="E9" s="243">
        <v>198.49200000000002</v>
      </c>
      <c r="F9" s="243">
        <v>169.82799999999997</v>
      </c>
      <c r="G9" s="243">
        <v>0</v>
      </c>
      <c r="H9" s="243">
        <v>0</v>
      </c>
      <c r="I9" s="243">
        <v>0</v>
      </c>
    </row>
    <row r="10" spans="1:9" x14ac:dyDescent="0.25">
      <c r="A10" s="429" t="s">
        <v>537</v>
      </c>
      <c r="B10" s="429"/>
      <c r="C10" s="429"/>
      <c r="D10" s="243">
        <v>867.36899999999991</v>
      </c>
      <c r="E10" s="243">
        <v>825.55099999999993</v>
      </c>
      <c r="F10" s="243">
        <v>20.861000000000001</v>
      </c>
      <c r="G10" s="243">
        <v>20.956999999999997</v>
      </c>
      <c r="H10" s="243">
        <v>0</v>
      </c>
      <c r="I10" s="243">
        <v>0</v>
      </c>
    </row>
    <row r="11" spans="1:9" x14ac:dyDescent="0.25">
      <c r="A11" s="429" t="s">
        <v>538</v>
      </c>
      <c r="B11" s="429"/>
      <c r="C11" s="429"/>
      <c r="D11" s="243">
        <v>1.887</v>
      </c>
      <c r="E11" s="243">
        <v>0</v>
      </c>
      <c r="F11" s="243">
        <v>0</v>
      </c>
      <c r="G11" s="243">
        <v>1.887</v>
      </c>
      <c r="H11" s="243">
        <v>0</v>
      </c>
      <c r="I11" s="243">
        <v>0</v>
      </c>
    </row>
    <row r="12" spans="1:9" x14ac:dyDescent="0.25">
      <c r="A12" s="429" t="s">
        <v>539</v>
      </c>
      <c r="B12" s="429"/>
      <c r="C12" s="429"/>
      <c r="D12" s="243">
        <v>29.931999999999999</v>
      </c>
      <c r="E12" s="243">
        <v>29.931999999999999</v>
      </c>
      <c r="F12" s="243">
        <v>0</v>
      </c>
      <c r="G12" s="243">
        <v>0</v>
      </c>
      <c r="H12" s="243">
        <v>0</v>
      </c>
      <c r="I12" s="243">
        <v>0</v>
      </c>
    </row>
    <row r="13" spans="1:9" ht="14.45" customHeight="1" x14ac:dyDescent="0.25">
      <c r="A13" s="429" t="s">
        <v>540</v>
      </c>
      <c r="B13" s="429"/>
      <c r="C13" s="429"/>
      <c r="D13" s="247">
        <v>382.70699999999999</v>
      </c>
      <c r="E13" s="247">
        <v>272.113</v>
      </c>
      <c r="F13" s="243">
        <v>0</v>
      </c>
      <c r="G13" s="247">
        <v>7.8739999999999997</v>
      </c>
      <c r="H13" s="247">
        <v>102.72</v>
      </c>
      <c r="I13" s="243">
        <v>0</v>
      </c>
    </row>
    <row r="14" spans="1:9" ht="14.45" customHeight="1" x14ac:dyDescent="0.25">
      <c r="A14" s="429" t="s">
        <v>541</v>
      </c>
      <c r="B14" s="429"/>
      <c r="C14" s="429"/>
      <c r="D14" s="243">
        <v>2303.2309999999998</v>
      </c>
      <c r="E14" s="243">
        <v>369.64100000000002</v>
      </c>
      <c r="F14" s="243">
        <v>0</v>
      </c>
      <c r="G14" s="243">
        <v>0</v>
      </c>
      <c r="H14" s="243">
        <v>1933.59</v>
      </c>
      <c r="I14" s="243">
        <v>0</v>
      </c>
    </row>
    <row r="15" spans="1:9" ht="14.45" customHeight="1" x14ac:dyDescent="0.25">
      <c r="A15" s="429" t="s">
        <v>542</v>
      </c>
      <c r="B15" s="429"/>
      <c r="C15" s="429"/>
      <c r="D15" s="243">
        <v>2185.8359999999998</v>
      </c>
      <c r="E15" s="243">
        <v>1689.7819999999999</v>
      </c>
      <c r="F15" s="243">
        <v>185.69100000000003</v>
      </c>
      <c r="G15" s="243">
        <v>112.233</v>
      </c>
      <c r="H15" s="243">
        <v>198.13</v>
      </c>
      <c r="I15" s="243">
        <v>0</v>
      </c>
    </row>
    <row r="16" spans="1:9" x14ac:dyDescent="0.25">
      <c r="A16" s="429" t="s">
        <v>543</v>
      </c>
      <c r="B16" s="429"/>
      <c r="C16" s="429"/>
      <c r="D16" s="243">
        <v>726.1</v>
      </c>
      <c r="E16" s="243">
        <v>291.13</v>
      </c>
      <c r="F16" s="243">
        <v>20.621000000000002</v>
      </c>
      <c r="G16" s="243">
        <v>169.87899999999999</v>
      </c>
      <c r="H16" s="243">
        <v>244.47</v>
      </c>
      <c r="I16" s="243">
        <v>0</v>
      </c>
    </row>
    <row r="17" spans="1:9" x14ac:dyDescent="0.25">
      <c r="A17" s="429" t="s">
        <v>544</v>
      </c>
      <c r="B17" s="429"/>
      <c r="C17" s="429"/>
      <c r="D17" s="243">
        <v>117.17</v>
      </c>
      <c r="E17" s="243">
        <v>0</v>
      </c>
      <c r="F17" s="243">
        <v>0</v>
      </c>
      <c r="G17" s="243">
        <v>0</v>
      </c>
      <c r="H17" s="243">
        <v>117.17</v>
      </c>
      <c r="I17" s="243">
        <v>0</v>
      </c>
    </row>
    <row r="18" spans="1:9" x14ac:dyDescent="0.25">
      <c r="A18" s="430" t="s">
        <v>545</v>
      </c>
      <c r="B18" s="430"/>
      <c r="C18" s="248"/>
      <c r="D18" s="244">
        <f>+SUM(D7:D17)</f>
        <v>7472.0259999999998</v>
      </c>
      <c r="E18" s="244">
        <f t="shared" ref="E18:I18" si="1">+SUM(E7:E17)</f>
        <v>3924.9450000000002</v>
      </c>
      <c r="F18" s="244">
        <f t="shared" si="1"/>
        <v>398.15699999999998</v>
      </c>
      <c r="G18" s="244">
        <f t="shared" si="1"/>
        <v>552.84400000000005</v>
      </c>
      <c r="H18" s="244">
        <f t="shared" si="1"/>
        <v>2596.08</v>
      </c>
      <c r="I18" s="244">
        <f t="shared" si="1"/>
        <v>0</v>
      </c>
    </row>
    <row r="19" spans="1:9" ht="14.45" customHeight="1" x14ac:dyDescent="0.25">
      <c r="A19" s="434" t="s">
        <v>546</v>
      </c>
      <c r="B19" s="434"/>
      <c r="C19" s="434"/>
      <c r="D19" s="246"/>
      <c r="E19" s="246"/>
      <c r="F19" s="246"/>
      <c r="G19" s="246"/>
      <c r="H19" s="246"/>
      <c r="I19" s="246"/>
    </row>
    <row r="20" spans="1:9" x14ac:dyDescent="0.25">
      <c r="A20" s="429" t="s">
        <v>547</v>
      </c>
      <c r="B20" s="429"/>
      <c r="C20" s="429"/>
      <c r="D20" s="243">
        <v>167.51600000000002</v>
      </c>
      <c r="E20" s="243">
        <v>167.51600000000002</v>
      </c>
      <c r="F20" s="243">
        <v>0</v>
      </c>
      <c r="G20" s="243">
        <v>0</v>
      </c>
      <c r="H20" s="243">
        <v>0</v>
      </c>
      <c r="I20" s="243">
        <v>0</v>
      </c>
    </row>
    <row r="21" spans="1:9" ht="14.45" customHeight="1" x14ac:dyDescent="0.25">
      <c r="A21" s="429" t="s">
        <v>548</v>
      </c>
      <c r="B21" s="429"/>
      <c r="C21" s="429"/>
      <c r="D21" s="243">
        <v>4.9050000000000002</v>
      </c>
      <c r="E21" s="243">
        <v>4.9050000000000002</v>
      </c>
      <c r="F21" s="243">
        <v>0</v>
      </c>
      <c r="G21" s="243">
        <v>0</v>
      </c>
      <c r="H21" s="243">
        <v>0</v>
      </c>
      <c r="I21" s="243">
        <v>0</v>
      </c>
    </row>
    <row r="22" spans="1:9" ht="14.45" customHeight="1" x14ac:dyDescent="0.25">
      <c r="A22" s="429" t="s">
        <v>549</v>
      </c>
      <c r="B22" s="429"/>
      <c r="C22" s="429"/>
      <c r="D22" s="243">
        <v>36.484000000000002</v>
      </c>
      <c r="E22" s="243">
        <v>36.484000000000002</v>
      </c>
      <c r="F22" s="243">
        <v>0</v>
      </c>
      <c r="G22" s="243">
        <v>0</v>
      </c>
      <c r="H22" s="243">
        <v>0</v>
      </c>
      <c r="I22" s="243">
        <v>0</v>
      </c>
    </row>
    <row r="23" spans="1:9" x14ac:dyDescent="0.25">
      <c r="A23" s="429" t="s">
        <v>550</v>
      </c>
      <c r="B23" s="429"/>
      <c r="C23" s="429"/>
      <c r="D23" s="243">
        <v>75.606999999999985</v>
      </c>
      <c r="E23" s="243">
        <v>75.606999999999985</v>
      </c>
      <c r="F23" s="243">
        <v>0</v>
      </c>
      <c r="G23" s="243">
        <v>0</v>
      </c>
      <c r="H23" s="243">
        <v>0</v>
      </c>
      <c r="I23" s="243">
        <v>0</v>
      </c>
    </row>
    <row r="24" spans="1:9" x14ac:dyDescent="0.25">
      <c r="A24" s="429" t="s">
        <v>551</v>
      </c>
      <c r="B24" s="429"/>
      <c r="C24" s="429"/>
      <c r="D24" s="243">
        <v>195.07700000000003</v>
      </c>
      <c r="E24" s="243">
        <v>195.07700000000003</v>
      </c>
      <c r="F24" s="243">
        <v>0</v>
      </c>
      <c r="G24" s="243">
        <v>0</v>
      </c>
      <c r="H24" s="243">
        <v>0</v>
      </c>
      <c r="I24" s="243">
        <v>0</v>
      </c>
    </row>
    <row r="25" spans="1:9" ht="14.45" customHeight="1" x14ac:dyDescent="0.25">
      <c r="A25" s="429" t="s">
        <v>552</v>
      </c>
      <c r="B25" s="429"/>
      <c r="C25" s="429"/>
      <c r="D25" s="243">
        <v>4.2050000000000001</v>
      </c>
      <c r="E25" s="243">
        <v>0</v>
      </c>
      <c r="F25" s="243">
        <v>4.2050000000000001</v>
      </c>
      <c r="G25" s="243">
        <v>0</v>
      </c>
      <c r="H25" s="243">
        <v>0</v>
      </c>
      <c r="I25" s="243">
        <v>0</v>
      </c>
    </row>
    <row r="26" spans="1:9" ht="14.45" customHeight="1" x14ac:dyDescent="0.25">
      <c r="A26" s="429" t="s">
        <v>553</v>
      </c>
      <c r="B26" s="429"/>
      <c r="C26" s="429"/>
      <c r="D26" s="243">
        <v>0.78500000000000003</v>
      </c>
      <c r="E26" s="243">
        <v>3.3000000000000002E-2</v>
      </c>
      <c r="F26" s="243">
        <v>0</v>
      </c>
      <c r="G26" s="243">
        <v>0.752</v>
      </c>
      <c r="H26" s="243">
        <v>0</v>
      </c>
      <c r="I26" s="243">
        <v>0</v>
      </c>
    </row>
    <row r="27" spans="1:9" ht="14.45" customHeight="1" x14ac:dyDescent="0.25">
      <c r="A27" s="433" t="s">
        <v>554</v>
      </c>
      <c r="B27" s="433"/>
      <c r="C27" s="433"/>
      <c r="D27" s="243">
        <v>142.24099999999999</v>
      </c>
      <c r="E27" s="243">
        <v>110.24</v>
      </c>
      <c r="F27" s="243">
        <v>0</v>
      </c>
      <c r="G27" s="243">
        <v>32.001000000000005</v>
      </c>
      <c r="H27" s="243">
        <v>0</v>
      </c>
      <c r="I27" s="243">
        <v>0</v>
      </c>
    </row>
    <row r="28" spans="1:9" ht="14.45" customHeight="1" x14ac:dyDescent="0.25">
      <c r="A28" s="429" t="s">
        <v>555</v>
      </c>
      <c r="B28" s="429"/>
      <c r="C28" s="429"/>
      <c r="D28" s="243">
        <v>908.34100000000001</v>
      </c>
      <c r="E28" s="243">
        <v>385.85199999999998</v>
      </c>
      <c r="F28" s="243">
        <v>2.2250000000000001</v>
      </c>
      <c r="G28" s="243">
        <v>520.26400000000001</v>
      </c>
      <c r="H28" s="243">
        <v>0</v>
      </c>
      <c r="I28" s="243">
        <v>0</v>
      </c>
    </row>
    <row r="29" spans="1:9" ht="14.45" customHeight="1" x14ac:dyDescent="0.25">
      <c r="A29" s="429" t="s">
        <v>556</v>
      </c>
      <c r="B29" s="429"/>
      <c r="C29" s="429"/>
      <c r="D29" s="243">
        <v>164.39600000000002</v>
      </c>
      <c r="E29" s="243">
        <v>64.085000000000008</v>
      </c>
      <c r="F29" s="243">
        <v>0</v>
      </c>
      <c r="G29" s="243">
        <v>100.31099999999999</v>
      </c>
      <c r="H29" s="243">
        <v>0</v>
      </c>
      <c r="I29" s="243">
        <v>0</v>
      </c>
    </row>
    <row r="30" spans="1:9" ht="14.45" customHeight="1" x14ac:dyDescent="0.25">
      <c r="A30" s="429" t="s">
        <v>557</v>
      </c>
      <c r="B30" s="429"/>
      <c r="C30" s="429"/>
      <c r="D30" s="243">
        <v>0.255</v>
      </c>
      <c r="E30" s="243">
        <v>0.255</v>
      </c>
      <c r="F30" s="243">
        <v>0</v>
      </c>
      <c r="G30" s="243">
        <v>0</v>
      </c>
      <c r="H30" s="243">
        <v>0</v>
      </c>
      <c r="I30" s="243">
        <v>0</v>
      </c>
    </row>
    <row r="31" spans="1:9" ht="14.45" customHeight="1" x14ac:dyDescent="0.25">
      <c r="A31" s="429" t="s">
        <v>558</v>
      </c>
      <c r="B31" s="429"/>
      <c r="C31" s="429"/>
      <c r="D31" s="243">
        <v>12.327999999999999</v>
      </c>
      <c r="E31" s="243">
        <v>8.1219999999999999</v>
      </c>
      <c r="F31" s="243">
        <v>0</v>
      </c>
      <c r="G31" s="243">
        <v>4.2059999999999995</v>
      </c>
      <c r="H31" s="243">
        <v>0</v>
      </c>
      <c r="I31" s="243">
        <v>0</v>
      </c>
    </row>
    <row r="32" spans="1:9" x14ac:dyDescent="0.25">
      <c r="A32" s="429" t="s">
        <v>559</v>
      </c>
      <c r="B32" s="429"/>
      <c r="C32" s="429"/>
      <c r="D32" s="243">
        <v>3.2429999999999999</v>
      </c>
      <c r="E32" s="243">
        <v>3.2429999999999999</v>
      </c>
      <c r="F32" s="243">
        <v>0</v>
      </c>
      <c r="G32" s="243">
        <v>0</v>
      </c>
      <c r="H32" s="243">
        <v>0</v>
      </c>
      <c r="I32" s="243">
        <v>0</v>
      </c>
    </row>
    <row r="33" spans="1:9" x14ac:dyDescent="0.25">
      <c r="A33" s="429" t="s">
        <v>560</v>
      </c>
      <c r="B33" s="429"/>
      <c r="C33" s="429"/>
      <c r="D33" s="243">
        <v>5.0949999999999998</v>
      </c>
      <c r="E33" s="243">
        <v>5.0949999999999998</v>
      </c>
      <c r="F33" s="243">
        <v>0</v>
      </c>
      <c r="G33" s="243">
        <v>0</v>
      </c>
      <c r="H33" s="243">
        <v>0</v>
      </c>
      <c r="I33" s="243">
        <v>0</v>
      </c>
    </row>
    <row r="34" spans="1:9" ht="14.45" customHeight="1" x14ac:dyDescent="0.25">
      <c r="A34" s="430" t="s">
        <v>545</v>
      </c>
      <c r="B34" s="430"/>
      <c r="C34" s="430"/>
      <c r="D34" s="244">
        <f t="shared" ref="D34:I34" si="2">+SUM(D20:D33)</f>
        <v>1720.4780000000001</v>
      </c>
      <c r="E34" s="244">
        <f t="shared" si="2"/>
        <v>1056.5140000000001</v>
      </c>
      <c r="F34" s="244">
        <f t="shared" si="2"/>
        <v>6.43</v>
      </c>
      <c r="G34" s="244">
        <f t="shared" si="2"/>
        <v>657.53400000000011</v>
      </c>
      <c r="H34" s="244">
        <f t="shared" si="2"/>
        <v>0</v>
      </c>
      <c r="I34" s="244">
        <f t="shared" si="2"/>
        <v>0</v>
      </c>
    </row>
    <row r="35" spans="1:9" ht="14.45" customHeight="1" x14ac:dyDescent="0.25">
      <c r="A35" s="434" t="s">
        <v>561</v>
      </c>
      <c r="B35" s="434"/>
      <c r="C35" s="434"/>
      <c r="D35" s="246"/>
      <c r="E35" s="246"/>
      <c r="F35" s="246"/>
      <c r="G35" s="246"/>
      <c r="H35" s="246"/>
      <c r="I35" s="246"/>
    </row>
    <row r="36" spans="1:9" x14ac:dyDescent="0.25">
      <c r="A36" s="429" t="s">
        <v>562</v>
      </c>
      <c r="B36" s="429"/>
      <c r="C36" s="429"/>
      <c r="D36" s="243">
        <v>1407.01</v>
      </c>
      <c r="E36" s="243">
        <v>72.067999999999998</v>
      </c>
      <c r="F36" s="243">
        <v>0</v>
      </c>
      <c r="G36" s="243">
        <v>1334.942</v>
      </c>
      <c r="H36" s="243">
        <v>0</v>
      </c>
      <c r="I36" s="243">
        <v>0</v>
      </c>
    </row>
    <row r="37" spans="1:9" ht="15.75" customHeight="1" x14ac:dyDescent="0.25">
      <c r="A37" s="433" t="s">
        <v>563</v>
      </c>
      <c r="B37" s="433"/>
      <c r="C37" s="433"/>
      <c r="D37" s="243">
        <v>0.23899999999999999</v>
      </c>
      <c r="E37" s="243">
        <v>0</v>
      </c>
      <c r="F37" s="243">
        <v>0</v>
      </c>
      <c r="G37" s="243">
        <v>0.23899999999999999</v>
      </c>
      <c r="H37" s="243">
        <v>0</v>
      </c>
      <c r="I37" s="243">
        <v>0</v>
      </c>
    </row>
    <row r="38" spans="1:9" x14ac:dyDescent="0.25">
      <c r="A38" s="429" t="s">
        <v>564</v>
      </c>
      <c r="B38" s="429"/>
      <c r="C38" s="429"/>
      <c r="D38" s="243">
        <v>1506.9499999999998</v>
      </c>
      <c r="E38" s="243">
        <v>0</v>
      </c>
      <c r="F38" s="243">
        <v>0</v>
      </c>
      <c r="G38" s="243">
        <v>0</v>
      </c>
      <c r="H38" s="243">
        <v>1506.9499999999998</v>
      </c>
      <c r="I38" s="243">
        <v>0</v>
      </c>
    </row>
    <row r="39" spans="1:9" ht="14.45" customHeight="1" x14ac:dyDescent="0.25">
      <c r="A39" s="429" t="s">
        <v>565</v>
      </c>
      <c r="B39" s="429"/>
      <c r="C39" s="429"/>
      <c r="D39" s="243">
        <v>746.98100000000011</v>
      </c>
      <c r="E39" s="243">
        <v>0</v>
      </c>
      <c r="F39" s="243">
        <v>0</v>
      </c>
      <c r="G39" s="243">
        <v>746.98100000000011</v>
      </c>
      <c r="H39" s="243">
        <v>0</v>
      </c>
      <c r="I39" s="243">
        <v>0</v>
      </c>
    </row>
    <row r="40" spans="1:9" ht="14.45" customHeight="1" x14ac:dyDescent="0.25">
      <c r="A40" s="429" t="s">
        <v>566</v>
      </c>
      <c r="B40" s="429"/>
      <c r="C40" s="429"/>
      <c r="D40" s="243">
        <v>82.322000000000017</v>
      </c>
      <c r="E40" s="243">
        <v>0</v>
      </c>
      <c r="F40" s="243">
        <v>0</v>
      </c>
      <c r="G40" s="243">
        <v>82.322000000000017</v>
      </c>
      <c r="H40" s="243">
        <v>0</v>
      </c>
      <c r="I40" s="243">
        <v>0</v>
      </c>
    </row>
    <row r="41" spans="1:9" x14ac:dyDescent="0.25">
      <c r="A41" s="429" t="s">
        <v>567</v>
      </c>
      <c r="B41" s="429"/>
      <c r="C41" s="429"/>
      <c r="D41" s="243">
        <v>241.81</v>
      </c>
      <c r="E41" s="243">
        <v>0</v>
      </c>
      <c r="F41" s="243">
        <v>0</v>
      </c>
      <c r="G41" s="243">
        <v>0</v>
      </c>
      <c r="H41" s="243">
        <v>241.81</v>
      </c>
      <c r="I41" s="243">
        <v>0</v>
      </c>
    </row>
    <row r="42" spans="1:9" ht="14.45" customHeight="1" x14ac:dyDescent="0.25">
      <c r="A42" s="429" t="s">
        <v>568</v>
      </c>
      <c r="B42" s="429"/>
      <c r="C42" s="429"/>
      <c r="D42" s="243">
        <v>945.90000000000009</v>
      </c>
      <c r="E42" s="243">
        <v>122.098</v>
      </c>
      <c r="F42" s="243">
        <v>50.132000000000005</v>
      </c>
      <c r="G42" s="243">
        <v>83.74</v>
      </c>
      <c r="H42" s="243">
        <v>689.93000000000006</v>
      </c>
      <c r="I42" s="243">
        <v>0</v>
      </c>
    </row>
    <row r="43" spans="1:9" ht="14.45" customHeight="1" x14ac:dyDescent="0.25">
      <c r="A43" s="429" t="s">
        <v>569</v>
      </c>
      <c r="B43" s="429"/>
      <c r="C43" s="429"/>
      <c r="D43" s="243">
        <v>5562.2009999999991</v>
      </c>
      <c r="E43" s="243">
        <v>239.92400000000001</v>
      </c>
      <c r="F43" s="243">
        <v>0</v>
      </c>
      <c r="G43" s="243">
        <v>5011.2969999999996</v>
      </c>
      <c r="H43" s="243">
        <v>310.98</v>
      </c>
      <c r="I43" s="243">
        <v>0</v>
      </c>
    </row>
    <row r="44" spans="1:9" ht="14.45" customHeight="1" x14ac:dyDescent="0.25">
      <c r="A44" s="429" t="s">
        <v>570</v>
      </c>
      <c r="B44" s="429"/>
      <c r="C44" s="429"/>
      <c r="D44" s="243">
        <v>4955.6459999999997</v>
      </c>
      <c r="E44" s="243">
        <v>483.58100000000002</v>
      </c>
      <c r="F44" s="243">
        <v>134.10499999999999</v>
      </c>
      <c r="G44" s="243">
        <v>4337.96</v>
      </c>
      <c r="H44" s="243">
        <v>0</v>
      </c>
      <c r="I44" s="243">
        <v>0</v>
      </c>
    </row>
    <row r="45" spans="1:9" ht="14.45" customHeight="1" x14ac:dyDescent="0.25">
      <c r="A45" s="430" t="s">
        <v>545</v>
      </c>
      <c r="B45" s="430"/>
      <c r="C45" s="430"/>
      <c r="D45" s="244">
        <f t="shared" ref="D45:I45" si="3">+SUM(D36:D44)</f>
        <v>15449.058999999997</v>
      </c>
      <c r="E45" s="244">
        <f t="shared" si="3"/>
        <v>917.67100000000005</v>
      </c>
      <c r="F45" s="244">
        <f t="shared" si="3"/>
        <v>184.23699999999999</v>
      </c>
      <c r="G45" s="244">
        <f t="shared" si="3"/>
        <v>11597.481</v>
      </c>
      <c r="H45" s="244">
        <f t="shared" si="3"/>
        <v>2749.6699999999996</v>
      </c>
      <c r="I45" s="244">
        <f t="shared" si="3"/>
        <v>0</v>
      </c>
    </row>
    <row r="46" spans="1:9" ht="14.45" customHeight="1" x14ac:dyDescent="0.25">
      <c r="A46" s="431" t="s">
        <v>571</v>
      </c>
      <c r="B46" s="431"/>
      <c r="C46" s="431"/>
      <c r="D46" s="249">
        <f t="shared" ref="D46:I46" si="4">+D45+D34+D18</f>
        <v>24641.562999999995</v>
      </c>
      <c r="E46" s="249">
        <f t="shared" si="4"/>
        <v>5899.13</v>
      </c>
      <c r="F46" s="249">
        <f t="shared" si="4"/>
        <v>588.82399999999996</v>
      </c>
      <c r="G46" s="249">
        <f t="shared" si="4"/>
        <v>12807.859</v>
      </c>
      <c r="H46" s="249">
        <f t="shared" si="4"/>
        <v>5345.75</v>
      </c>
      <c r="I46" s="249">
        <f t="shared" si="4"/>
        <v>0</v>
      </c>
    </row>
    <row r="47" spans="1:9" x14ac:dyDescent="0.25">
      <c r="A47" s="250"/>
      <c r="B47" s="250"/>
      <c r="C47" s="250"/>
      <c r="D47" s="251"/>
      <c r="E47" s="251"/>
      <c r="F47" s="251"/>
      <c r="G47" s="251"/>
      <c r="H47" s="251"/>
      <c r="I47" s="251"/>
    </row>
    <row r="48" spans="1:9" x14ac:dyDescent="0.25">
      <c r="A48" s="432" t="s">
        <v>572</v>
      </c>
      <c r="B48" s="432"/>
      <c r="C48" s="432"/>
      <c r="D48" s="252">
        <f t="shared" ref="D48:I48" si="5">+D46+D4</f>
        <v>79384.807000000001</v>
      </c>
      <c r="E48" s="252">
        <f t="shared" si="5"/>
        <v>23883.81</v>
      </c>
      <c r="F48" s="252">
        <f t="shared" si="5"/>
        <v>3700.6020000000003</v>
      </c>
      <c r="G48" s="252">
        <f t="shared" si="5"/>
        <v>14716.075000000001</v>
      </c>
      <c r="H48" s="252">
        <f t="shared" si="5"/>
        <v>37084.319999999992</v>
      </c>
      <c r="I48" s="252">
        <f t="shared" si="5"/>
        <v>0</v>
      </c>
    </row>
  </sheetData>
  <mergeCells count="47">
    <mergeCell ref="A6:C6"/>
    <mergeCell ref="A1:C1"/>
    <mergeCell ref="A2:C2"/>
    <mergeCell ref="A3:C3"/>
    <mergeCell ref="A4:C4"/>
    <mergeCell ref="A5:C5"/>
    <mergeCell ref="A18:B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3"/>
    <mergeCell ref="A44:C44"/>
    <mergeCell ref="A45:C45"/>
    <mergeCell ref="A46:C46"/>
    <mergeCell ref="A48:C48"/>
  </mergeCells>
  <pageMargins left="0.7" right="0.7" top="0.75" bottom="0.75" header="0.3" footer="0.3"/>
  <pageSetup paperSize="9" scale="84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49"/>
  <sheetViews>
    <sheetView view="pageBreakPreview" zoomScaleNormal="100" zoomScaleSheetLayoutView="100" workbookViewId="0">
      <selection activeCell="L1" sqref="L1:L1048576"/>
    </sheetView>
  </sheetViews>
  <sheetFormatPr baseColWidth="10" defaultRowHeight="11.25" x14ac:dyDescent="0.2"/>
  <cols>
    <col min="1" max="1" width="35.5703125" style="74" customWidth="1"/>
    <col min="2" max="7" width="11.42578125" style="66"/>
    <col min="8" max="8" width="11.42578125" style="57"/>
    <col min="9" max="9" width="23.140625" style="57" customWidth="1"/>
    <col min="10" max="10" width="19.140625" style="57" customWidth="1"/>
    <col min="11" max="16384" width="11.42578125" style="57"/>
  </cols>
  <sheetData>
    <row r="2" spans="1:12" ht="24" x14ac:dyDescent="0.2">
      <c r="A2" s="254" t="s">
        <v>573</v>
      </c>
      <c r="B2" s="254" t="s">
        <v>116</v>
      </c>
      <c r="C2" s="254" t="s">
        <v>574</v>
      </c>
      <c r="D2" s="254" t="s">
        <v>575</v>
      </c>
      <c r="E2" s="254" t="s">
        <v>576</v>
      </c>
      <c r="F2" s="254" t="s">
        <v>577</v>
      </c>
      <c r="G2" s="254" t="s">
        <v>578</v>
      </c>
      <c r="I2" s="255" t="s">
        <v>579</v>
      </c>
      <c r="J2" s="255" t="s">
        <v>580</v>
      </c>
      <c r="K2" s="255" t="s">
        <v>581</v>
      </c>
      <c r="L2" s="255" t="s">
        <v>582</v>
      </c>
    </row>
    <row r="3" spans="1:12" ht="15" x14ac:dyDescent="0.25">
      <c r="A3" s="256" t="s">
        <v>583</v>
      </c>
      <c r="B3" s="257"/>
      <c r="C3" s="257"/>
      <c r="D3" s="257"/>
      <c r="E3" s="257"/>
      <c r="F3" s="257"/>
      <c r="G3" s="257"/>
      <c r="I3" s="258" t="s">
        <v>584</v>
      </c>
      <c r="J3" s="259">
        <f>+B4</f>
        <v>2549.0550000000003</v>
      </c>
      <c r="K3" s="260">
        <f>+J3/365</f>
        <v>6.9837123287671243</v>
      </c>
      <c r="L3" s="261">
        <f>+K3/$K$10</f>
        <v>4.0823074721878995E-2</v>
      </c>
    </row>
    <row r="4" spans="1:12" ht="12" customHeight="1" x14ac:dyDescent="0.25">
      <c r="A4" s="262" t="s">
        <v>547</v>
      </c>
      <c r="B4" s="263">
        <v>2549.0550000000003</v>
      </c>
      <c r="C4" s="263">
        <v>1769.835</v>
      </c>
      <c r="D4" s="263">
        <v>0</v>
      </c>
      <c r="E4" s="263">
        <v>0</v>
      </c>
      <c r="F4" s="263">
        <v>779.22</v>
      </c>
      <c r="G4" s="263">
        <v>0</v>
      </c>
      <c r="I4" s="264" t="s">
        <v>585</v>
      </c>
      <c r="J4" s="259">
        <f>+B5+B6+B7+B8+B9+B10+B11+B12+B13</f>
        <v>17406.231</v>
      </c>
      <c r="K4" s="260">
        <f t="shared" ref="K4:K10" si="0">+J4/365</f>
        <v>47.688304109589041</v>
      </c>
      <c r="L4" s="261">
        <f t="shared" ref="L4:L9" si="1">+K4/$K$10</f>
        <v>0.27876050879219416</v>
      </c>
    </row>
    <row r="5" spans="1:12" ht="12" customHeight="1" x14ac:dyDescent="0.25">
      <c r="A5" s="262" t="s">
        <v>586</v>
      </c>
      <c r="B5" s="263">
        <v>840.30799999999988</v>
      </c>
      <c r="C5" s="265">
        <v>0</v>
      </c>
      <c r="D5" s="263">
        <v>0</v>
      </c>
      <c r="E5" s="263">
        <v>540.4079999999999</v>
      </c>
      <c r="F5" s="265">
        <v>299.89999999999998</v>
      </c>
      <c r="G5" s="265">
        <v>0</v>
      </c>
      <c r="I5" s="264" t="s">
        <v>587</v>
      </c>
      <c r="J5" s="259">
        <f>+B14+B15</f>
        <v>5434.4880000000003</v>
      </c>
      <c r="K5" s="260">
        <f t="shared" si="0"/>
        <v>14.889008219178082</v>
      </c>
      <c r="L5" s="261">
        <f t="shared" si="1"/>
        <v>8.7033237689714313E-2</v>
      </c>
    </row>
    <row r="6" spans="1:12" ht="12" customHeight="1" x14ac:dyDescent="0.25">
      <c r="A6" s="262" t="s">
        <v>588</v>
      </c>
      <c r="B6" s="263">
        <v>1946.8209999999999</v>
      </c>
      <c r="C6" s="149">
        <v>142.71800000000002</v>
      </c>
      <c r="D6" s="263">
        <v>0</v>
      </c>
      <c r="E6" s="149">
        <v>1804.1029999999998</v>
      </c>
      <c r="F6" s="265">
        <v>0</v>
      </c>
      <c r="G6" s="265">
        <v>0</v>
      </c>
      <c r="I6" s="264" t="s">
        <v>589</v>
      </c>
      <c r="J6" s="259">
        <f>+B17+B18</f>
        <v>19012.314999999999</v>
      </c>
      <c r="K6" s="260">
        <f t="shared" si="0"/>
        <v>52.088534246575335</v>
      </c>
      <c r="L6" s="261">
        <f t="shared" si="1"/>
        <v>0.3044819181543359</v>
      </c>
    </row>
    <row r="7" spans="1:12" ht="12" customHeight="1" x14ac:dyDescent="0.25">
      <c r="A7" s="262" t="s">
        <v>590</v>
      </c>
      <c r="B7" s="263">
        <v>7216.7110000000002</v>
      </c>
      <c r="C7" s="149">
        <v>3563.181</v>
      </c>
      <c r="D7" s="263">
        <v>117.479</v>
      </c>
      <c r="E7" s="149">
        <v>3536.0510000000004</v>
      </c>
      <c r="F7" s="265">
        <v>0</v>
      </c>
      <c r="G7" s="149">
        <v>0</v>
      </c>
      <c r="I7" s="264" t="s">
        <v>591</v>
      </c>
      <c r="J7" s="259">
        <f>+B20+B21</f>
        <v>11746.557999999997</v>
      </c>
      <c r="K7" s="260">
        <f t="shared" si="0"/>
        <v>32.1823506849315</v>
      </c>
      <c r="L7" s="261">
        <f t="shared" si="1"/>
        <v>0.18812093695855339</v>
      </c>
    </row>
    <row r="8" spans="1:12" ht="12" customHeight="1" x14ac:dyDescent="0.25">
      <c r="A8" s="262" t="s">
        <v>592</v>
      </c>
      <c r="B8" s="263">
        <v>2223.6210000000001</v>
      </c>
      <c r="C8" s="149">
        <v>1675.4970000000003</v>
      </c>
      <c r="D8" s="263">
        <v>279.04000000000002</v>
      </c>
      <c r="E8" s="149">
        <v>269.084</v>
      </c>
      <c r="F8" s="265">
        <v>0</v>
      </c>
      <c r="G8" s="265">
        <v>0</v>
      </c>
      <c r="I8" s="264" t="s">
        <v>593</v>
      </c>
      <c r="J8" s="259">
        <f>+B19+B16</f>
        <v>4573.9680000000008</v>
      </c>
      <c r="K8" s="260">
        <f t="shared" si="0"/>
        <v>12.531419178082194</v>
      </c>
      <c r="L8" s="261">
        <f t="shared" si="1"/>
        <v>7.3252023765467369E-2</v>
      </c>
    </row>
    <row r="9" spans="1:12" ht="12" customHeight="1" x14ac:dyDescent="0.25">
      <c r="A9" s="262" t="s">
        <v>594</v>
      </c>
      <c r="B9" s="263">
        <v>191.44</v>
      </c>
      <c r="C9" s="265">
        <v>0</v>
      </c>
      <c r="D9" s="265">
        <v>0</v>
      </c>
      <c r="E9" s="265">
        <v>0</v>
      </c>
      <c r="F9" s="149">
        <v>191.44</v>
      </c>
      <c r="G9" s="265">
        <v>0</v>
      </c>
      <c r="I9" s="264" t="s">
        <v>595</v>
      </c>
      <c r="J9" s="259">
        <f>+B22+B23+B24+B25</f>
        <v>1718.9090000000001</v>
      </c>
      <c r="K9" s="260">
        <f t="shared" si="0"/>
        <v>4.7093397260273973</v>
      </c>
      <c r="L9" s="261">
        <f t="shared" si="1"/>
        <v>2.7528299917855947E-2</v>
      </c>
    </row>
    <row r="10" spans="1:12" ht="12" customHeight="1" x14ac:dyDescent="0.2">
      <c r="A10" s="262" t="s">
        <v>596</v>
      </c>
      <c r="B10" s="263">
        <v>270.41000000000003</v>
      </c>
      <c r="C10" s="265">
        <v>0</v>
      </c>
      <c r="D10" s="265">
        <v>0</v>
      </c>
      <c r="E10" s="265">
        <v>0</v>
      </c>
      <c r="F10" s="149">
        <v>270.41000000000003</v>
      </c>
      <c r="G10" s="265">
        <v>0</v>
      </c>
      <c r="I10" s="266" t="s">
        <v>287</v>
      </c>
      <c r="J10" s="267">
        <f>+SUM(J3:J9)</f>
        <v>62441.523999999998</v>
      </c>
      <c r="K10" s="268">
        <f t="shared" si="0"/>
        <v>171.07266849315067</v>
      </c>
      <c r="L10" s="269">
        <f>+SUM(L3:L9)</f>
        <v>1</v>
      </c>
    </row>
    <row r="11" spans="1:12" ht="12" customHeight="1" x14ac:dyDescent="0.2">
      <c r="A11" s="262" t="s">
        <v>597</v>
      </c>
      <c r="B11" s="263">
        <v>1345.5</v>
      </c>
      <c r="C11" s="265">
        <v>0</v>
      </c>
      <c r="D11" s="265">
        <v>0</v>
      </c>
      <c r="E11" s="265">
        <v>0</v>
      </c>
      <c r="F11" s="149">
        <v>1345.5</v>
      </c>
      <c r="G11" s="265">
        <v>0</v>
      </c>
    </row>
    <row r="12" spans="1:12" ht="12" customHeight="1" x14ac:dyDescent="0.2">
      <c r="A12" s="262" t="s">
        <v>598</v>
      </c>
      <c r="B12" s="263">
        <v>2894.67</v>
      </c>
      <c r="C12" s="265">
        <v>0</v>
      </c>
      <c r="D12" s="265">
        <v>0</v>
      </c>
      <c r="E12" s="265">
        <v>0</v>
      </c>
      <c r="F12" s="263">
        <v>2894.67</v>
      </c>
      <c r="G12" s="265">
        <v>0</v>
      </c>
    </row>
    <row r="13" spans="1:12" ht="12" customHeight="1" x14ac:dyDescent="0.2">
      <c r="A13" s="262" t="s">
        <v>599</v>
      </c>
      <c r="B13" s="263">
        <v>476.74999999999994</v>
      </c>
      <c r="C13" s="265">
        <v>0</v>
      </c>
      <c r="D13" s="265">
        <v>0</v>
      </c>
      <c r="E13" s="265">
        <v>0</v>
      </c>
      <c r="F13" s="263">
        <v>476.74999999999994</v>
      </c>
      <c r="G13" s="265">
        <v>0</v>
      </c>
    </row>
    <row r="14" spans="1:12" ht="12" customHeight="1" x14ac:dyDescent="0.2">
      <c r="A14" s="262" t="s">
        <v>600</v>
      </c>
      <c r="B14" s="263">
        <v>5434.4880000000003</v>
      </c>
      <c r="C14" s="263">
        <v>1410.9010000000001</v>
      </c>
      <c r="D14" s="263">
        <v>100.967</v>
      </c>
      <c r="E14" s="265">
        <v>0</v>
      </c>
      <c r="F14" s="263">
        <v>3922.62</v>
      </c>
      <c r="G14" s="263">
        <v>0</v>
      </c>
    </row>
    <row r="15" spans="1:12" ht="12" customHeight="1" x14ac:dyDescent="0.2">
      <c r="A15" s="262" t="s">
        <v>601</v>
      </c>
      <c r="B15" s="265">
        <v>0</v>
      </c>
      <c r="C15" s="265">
        <v>0</v>
      </c>
      <c r="D15" s="265">
        <v>0</v>
      </c>
      <c r="E15" s="265">
        <v>0</v>
      </c>
      <c r="F15" s="265">
        <v>0</v>
      </c>
      <c r="G15" s="265">
        <v>0</v>
      </c>
    </row>
    <row r="16" spans="1:12" ht="12" customHeight="1" x14ac:dyDescent="0.2">
      <c r="A16" s="262" t="s">
        <v>602</v>
      </c>
      <c r="B16" s="263">
        <v>131.27799999999999</v>
      </c>
      <c r="C16" s="263">
        <v>131.27799999999999</v>
      </c>
      <c r="D16" s="265">
        <v>0</v>
      </c>
      <c r="E16" s="265">
        <v>0</v>
      </c>
      <c r="F16" s="265">
        <v>0</v>
      </c>
      <c r="G16" s="265">
        <v>0</v>
      </c>
    </row>
    <row r="17" spans="1:7" ht="12" customHeight="1" x14ac:dyDescent="0.2">
      <c r="A17" s="262" t="s">
        <v>603</v>
      </c>
      <c r="B17" s="263">
        <v>3310.7999999999997</v>
      </c>
      <c r="C17" s="263">
        <v>2332.9979999999996</v>
      </c>
      <c r="D17" s="263">
        <v>977.80200000000013</v>
      </c>
      <c r="E17" s="265">
        <v>0</v>
      </c>
      <c r="F17" s="265">
        <v>0</v>
      </c>
      <c r="G17" s="265">
        <v>0</v>
      </c>
    </row>
    <row r="18" spans="1:7" ht="12" customHeight="1" x14ac:dyDescent="0.2">
      <c r="A18" s="262" t="s">
        <v>604</v>
      </c>
      <c r="B18" s="263">
        <v>15701.514999999999</v>
      </c>
      <c r="C18" s="263">
        <v>337.47800000000001</v>
      </c>
      <c r="D18" s="265">
        <v>0</v>
      </c>
      <c r="E18" s="149">
        <v>1491.307</v>
      </c>
      <c r="F18" s="263">
        <v>13872.73</v>
      </c>
      <c r="G18" s="265">
        <v>0</v>
      </c>
    </row>
    <row r="19" spans="1:7" ht="12" customHeight="1" x14ac:dyDescent="0.2">
      <c r="A19" s="262" t="s">
        <v>605</v>
      </c>
      <c r="B19" s="263">
        <v>4442.6900000000005</v>
      </c>
      <c r="C19" s="263">
        <v>1164.4290000000001</v>
      </c>
      <c r="D19" s="149">
        <v>0</v>
      </c>
      <c r="E19" s="263">
        <v>354.87100000000004</v>
      </c>
      <c r="F19" s="263">
        <v>2923.3900000000003</v>
      </c>
      <c r="G19" s="265">
        <v>0</v>
      </c>
    </row>
    <row r="20" spans="1:7" ht="12" customHeight="1" x14ac:dyDescent="0.2">
      <c r="A20" s="262" t="s">
        <v>606</v>
      </c>
      <c r="B20" s="263">
        <v>5674.5469999999996</v>
      </c>
      <c r="C20" s="263">
        <v>4515.1469999999999</v>
      </c>
      <c r="D20" s="149">
        <v>485.53999999999996</v>
      </c>
      <c r="E20" s="263">
        <v>356.59</v>
      </c>
      <c r="F20" s="149">
        <v>317.26999999999992</v>
      </c>
      <c r="G20" s="149">
        <v>0</v>
      </c>
    </row>
    <row r="21" spans="1:7" x14ac:dyDescent="0.2">
      <c r="A21" s="262" t="s">
        <v>607</v>
      </c>
      <c r="B21" s="263">
        <v>6072.0109999999986</v>
      </c>
      <c r="C21" s="263">
        <v>292.27099999999996</v>
      </c>
      <c r="D21" s="265">
        <v>0</v>
      </c>
      <c r="E21" s="263">
        <v>205.87</v>
      </c>
      <c r="F21" s="263">
        <v>5573.869999999999</v>
      </c>
      <c r="G21" s="265">
        <v>0</v>
      </c>
    </row>
    <row r="22" spans="1:7" x14ac:dyDescent="0.2">
      <c r="A22" s="262" t="s">
        <v>608</v>
      </c>
      <c r="B22" s="263">
        <v>161.553</v>
      </c>
      <c r="C22" s="263">
        <v>12.385</v>
      </c>
      <c r="D22" s="265">
        <v>0</v>
      </c>
      <c r="E22" s="263">
        <v>108.15799999999999</v>
      </c>
      <c r="F22" s="263">
        <v>41.01</v>
      </c>
      <c r="G22" s="265">
        <v>0</v>
      </c>
    </row>
    <row r="23" spans="1:7" x14ac:dyDescent="0.2">
      <c r="A23" s="262" t="s">
        <v>609</v>
      </c>
      <c r="B23" s="263">
        <v>1393.2910000000002</v>
      </c>
      <c r="C23" s="263">
        <v>171.52</v>
      </c>
      <c r="D23" s="265">
        <v>0</v>
      </c>
      <c r="E23" s="263">
        <v>571.06100000000015</v>
      </c>
      <c r="F23" s="149">
        <v>650.71</v>
      </c>
      <c r="G23" s="265">
        <v>0</v>
      </c>
    </row>
    <row r="24" spans="1:7" x14ac:dyDescent="0.2">
      <c r="A24" s="262" t="s">
        <v>559</v>
      </c>
      <c r="B24" s="263">
        <v>35.940000000000005</v>
      </c>
      <c r="C24" s="263">
        <v>0</v>
      </c>
      <c r="D24" s="265">
        <v>0</v>
      </c>
      <c r="E24" s="263">
        <v>35.940000000000005</v>
      </c>
      <c r="F24" s="265">
        <v>0</v>
      </c>
      <c r="G24" s="263">
        <v>0</v>
      </c>
    </row>
    <row r="25" spans="1:7" x14ac:dyDescent="0.2">
      <c r="A25" s="262" t="s">
        <v>560</v>
      </c>
      <c r="B25" s="263">
        <v>128.125</v>
      </c>
      <c r="C25" s="263">
        <v>64.551000000000002</v>
      </c>
      <c r="D25" s="265">
        <v>0</v>
      </c>
      <c r="E25" s="263">
        <v>63.573999999999991</v>
      </c>
      <c r="F25" s="265">
        <v>0</v>
      </c>
      <c r="G25" s="265">
        <v>0</v>
      </c>
    </row>
    <row r="26" spans="1:7" x14ac:dyDescent="0.2">
      <c r="A26" s="270" t="s">
        <v>545</v>
      </c>
      <c r="B26" s="271">
        <f t="shared" ref="B26:G26" si="2">+SUM(B4:B25)</f>
        <v>62441.523999999998</v>
      </c>
      <c r="C26" s="271">
        <f t="shared" si="2"/>
        <v>17584.188999999998</v>
      </c>
      <c r="D26" s="271">
        <f t="shared" si="2"/>
        <v>1960.828</v>
      </c>
      <c r="E26" s="271">
        <f t="shared" si="2"/>
        <v>9337.0169999999998</v>
      </c>
      <c r="F26" s="271">
        <f t="shared" si="2"/>
        <v>33559.49</v>
      </c>
      <c r="G26" s="271">
        <f t="shared" si="2"/>
        <v>0</v>
      </c>
    </row>
    <row r="27" spans="1:7" x14ac:dyDescent="0.2">
      <c r="A27" s="272" t="s">
        <v>610</v>
      </c>
      <c r="B27" s="273"/>
      <c r="C27" s="273"/>
      <c r="D27" s="273"/>
      <c r="E27" s="273"/>
      <c r="F27" s="273"/>
      <c r="G27" s="273"/>
    </row>
    <row r="28" spans="1:7" ht="14.25" customHeight="1" x14ac:dyDescent="0.2">
      <c r="A28" s="274" t="s">
        <v>611</v>
      </c>
      <c r="B28" s="263">
        <v>940.67000000000007</v>
      </c>
      <c r="C28" s="263">
        <v>347.76699999999994</v>
      </c>
      <c r="D28" s="263">
        <v>5.4030000000000005</v>
      </c>
      <c r="E28" s="263">
        <v>1.46</v>
      </c>
      <c r="F28" s="263">
        <v>586.04000000000008</v>
      </c>
      <c r="G28" s="149">
        <v>0</v>
      </c>
    </row>
    <row r="29" spans="1:7" x14ac:dyDescent="0.2">
      <c r="A29" s="274" t="s">
        <v>612</v>
      </c>
      <c r="B29" s="263">
        <v>21.849</v>
      </c>
      <c r="C29" s="263">
        <v>21.849</v>
      </c>
      <c r="D29" s="265">
        <v>0</v>
      </c>
      <c r="E29" s="265">
        <v>0</v>
      </c>
      <c r="F29" s="265">
        <v>0</v>
      </c>
      <c r="G29" s="265">
        <v>0</v>
      </c>
    </row>
    <row r="30" spans="1:7" x14ac:dyDescent="0.2">
      <c r="A30" s="274" t="s">
        <v>534</v>
      </c>
      <c r="B30" s="263">
        <v>497.32700000000006</v>
      </c>
      <c r="C30" s="263">
        <v>313.87600000000003</v>
      </c>
      <c r="D30" s="263">
        <v>103.271</v>
      </c>
      <c r="E30" s="265">
        <v>0</v>
      </c>
      <c r="F30" s="265">
        <v>80.180000000000007</v>
      </c>
      <c r="G30" s="265">
        <v>0</v>
      </c>
    </row>
    <row r="31" spans="1:7" x14ac:dyDescent="0.2">
      <c r="A31" s="274" t="s">
        <v>535</v>
      </c>
      <c r="B31" s="263">
        <v>28.056999999999995</v>
      </c>
      <c r="C31" s="263">
        <v>3.4809999999999999</v>
      </c>
      <c r="D31" s="265">
        <v>0</v>
      </c>
      <c r="E31" s="263">
        <v>24.575999999999997</v>
      </c>
      <c r="F31" s="265">
        <v>0</v>
      </c>
      <c r="G31" s="265">
        <v>0</v>
      </c>
    </row>
    <row r="32" spans="1:7" x14ac:dyDescent="0.2">
      <c r="A32" s="274" t="s">
        <v>613</v>
      </c>
      <c r="B32" s="263">
        <v>1267.0819999999999</v>
      </c>
      <c r="C32" s="263">
        <v>1267.0819999999999</v>
      </c>
      <c r="D32" s="265">
        <v>0</v>
      </c>
      <c r="E32" s="265">
        <v>0</v>
      </c>
      <c r="F32" s="265">
        <v>0</v>
      </c>
      <c r="G32" s="265">
        <v>0</v>
      </c>
    </row>
    <row r="33" spans="1:7" x14ac:dyDescent="0.2">
      <c r="A33" s="274" t="s">
        <v>536</v>
      </c>
      <c r="B33" s="263">
        <v>333.06400000000002</v>
      </c>
      <c r="C33" s="263">
        <v>333.06400000000002</v>
      </c>
      <c r="D33" s="265">
        <v>0</v>
      </c>
      <c r="E33" s="265">
        <v>0</v>
      </c>
      <c r="F33" s="265">
        <v>0</v>
      </c>
      <c r="G33" s="265">
        <v>0</v>
      </c>
    </row>
    <row r="34" spans="1:7" ht="13.5" customHeight="1" x14ac:dyDescent="0.2">
      <c r="A34" s="274" t="s">
        <v>614</v>
      </c>
      <c r="B34" s="263">
        <v>2105.71</v>
      </c>
      <c r="C34" s="265">
        <v>0</v>
      </c>
      <c r="D34" s="265">
        <v>0</v>
      </c>
      <c r="E34" s="265">
        <v>0</v>
      </c>
      <c r="F34" s="263">
        <v>2105.71</v>
      </c>
      <c r="G34" s="149">
        <v>0</v>
      </c>
    </row>
    <row r="35" spans="1:7" x14ac:dyDescent="0.2">
      <c r="A35" s="274" t="s">
        <v>537</v>
      </c>
      <c r="B35" s="263">
        <v>3238.16</v>
      </c>
      <c r="C35" s="263">
        <v>2174.66</v>
      </c>
      <c r="D35" s="263">
        <v>137.51999999999998</v>
      </c>
      <c r="E35" s="263">
        <v>925.98</v>
      </c>
      <c r="F35" s="265">
        <v>0</v>
      </c>
      <c r="G35" s="149">
        <v>0</v>
      </c>
    </row>
    <row r="36" spans="1:7" x14ac:dyDescent="0.2">
      <c r="A36" s="274" t="s">
        <v>615</v>
      </c>
      <c r="B36" s="263">
        <v>3965.9500000000003</v>
      </c>
      <c r="C36" s="265">
        <v>0</v>
      </c>
      <c r="D36" s="265">
        <v>0</v>
      </c>
      <c r="E36" s="263">
        <v>3965.9500000000003</v>
      </c>
      <c r="F36" s="265">
        <v>0</v>
      </c>
      <c r="G36" s="265">
        <v>0</v>
      </c>
    </row>
    <row r="37" spans="1:7" x14ac:dyDescent="0.2">
      <c r="A37" s="274" t="s">
        <v>616</v>
      </c>
      <c r="B37" s="263">
        <v>563.29299999999989</v>
      </c>
      <c r="C37" s="263">
        <v>21.977</v>
      </c>
      <c r="D37" s="265">
        <v>0</v>
      </c>
      <c r="E37" s="263">
        <v>259.476</v>
      </c>
      <c r="F37" s="263">
        <v>281.83999999999997</v>
      </c>
      <c r="G37" s="265">
        <v>0</v>
      </c>
    </row>
    <row r="38" spans="1:7" x14ac:dyDescent="0.2">
      <c r="A38" s="274" t="s">
        <v>541</v>
      </c>
      <c r="B38" s="263">
        <v>2082.9449999999997</v>
      </c>
      <c r="C38" s="263">
        <v>1899.9649999999997</v>
      </c>
      <c r="D38" s="265">
        <v>0</v>
      </c>
      <c r="E38" s="265">
        <v>0</v>
      </c>
      <c r="F38" s="265">
        <v>182.98000000000002</v>
      </c>
      <c r="G38" s="265">
        <v>0</v>
      </c>
    </row>
    <row r="39" spans="1:7" x14ac:dyDescent="0.2">
      <c r="A39" s="274" t="s">
        <v>617</v>
      </c>
      <c r="B39" s="263">
        <v>1466.8570000000002</v>
      </c>
      <c r="C39" s="263">
        <v>0</v>
      </c>
      <c r="D39" s="263">
        <v>1466.8570000000002</v>
      </c>
      <c r="E39" s="265">
        <v>0</v>
      </c>
      <c r="F39" s="265">
        <v>0</v>
      </c>
      <c r="G39" s="265">
        <v>0</v>
      </c>
    </row>
    <row r="40" spans="1:7" x14ac:dyDescent="0.2">
      <c r="A40" s="274" t="s">
        <v>543</v>
      </c>
      <c r="B40" s="263">
        <v>152.07700000000003</v>
      </c>
      <c r="C40" s="263">
        <v>0</v>
      </c>
      <c r="D40" s="265">
        <v>1.4E-2</v>
      </c>
      <c r="E40" s="263">
        <v>152.06300000000002</v>
      </c>
      <c r="F40" s="265">
        <v>0</v>
      </c>
      <c r="G40" s="149">
        <v>0</v>
      </c>
    </row>
    <row r="41" spans="1:7" x14ac:dyDescent="0.2">
      <c r="A41" s="274" t="s">
        <v>618</v>
      </c>
      <c r="B41" s="263"/>
      <c r="C41" s="265"/>
      <c r="D41" s="265"/>
      <c r="E41" s="263"/>
      <c r="F41" s="265"/>
      <c r="G41" s="265"/>
    </row>
    <row r="42" spans="1:7" x14ac:dyDescent="0.2">
      <c r="A42" s="274" t="s">
        <v>619</v>
      </c>
      <c r="B42" s="263">
        <v>122.47</v>
      </c>
      <c r="C42" s="265">
        <v>0</v>
      </c>
      <c r="D42" s="265">
        <v>0</v>
      </c>
      <c r="E42" s="263">
        <v>0</v>
      </c>
      <c r="F42" s="265">
        <v>122.47</v>
      </c>
      <c r="G42" s="265">
        <v>0</v>
      </c>
    </row>
    <row r="43" spans="1:7" x14ac:dyDescent="0.2">
      <c r="A43" s="274" t="s">
        <v>620</v>
      </c>
      <c r="B43" s="263">
        <v>221.78000000000003</v>
      </c>
      <c r="C43" s="265">
        <v>0</v>
      </c>
      <c r="D43" s="265">
        <v>0</v>
      </c>
      <c r="E43" s="265">
        <v>0</v>
      </c>
      <c r="F43" s="263">
        <v>221.78000000000003</v>
      </c>
      <c r="G43" s="265">
        <v>0</v>
      </c>
    </row>
    <row r="44" spans="1:7" x14ac:dyDescent="0.2">
      <c r="A44" s="274" t="s">
        <v>621</v>
      </c>
      <c r="B44" s="149"/>
      <c r="C44" s="265"/>
      <c r="D44" s="265"/>
      <c r="E44" s="265"/>
      <c r="F44" s="265"/>
      <c r="G44" s="149"/>
    </row>
    <row r="45" spans="1:7" x14ac:dyDescent="0.2">
      <c r="A45" s="275" t="s">
        <v>545</v>
      </c>
      <c r="B45" s="276">
        <f>+SUM(B28:B44)</f>
        <v>17007.291000000001</v>
      </c>
      <c r="C45" s="276">
        <f t="shared" ref="C45:G45" si="3">+SUM(C28:C44)</f>
        <v>6383.7209999999995</v>
      </c>
      <c r="D45" s="276">
        <f t="shared" si="3"/>
        <v>1713.0650000000001</v>
      </c>
      <c r="E45" s="276">
        <f t="shared" si="3"/>
        <v>5329.5050000000001</v>
      </c>
      <c r="F45" s="276">
        <f t="shared" si="3"/>
        <v>3581.0000000000005</v>
      </c>
      <c r="G45" s="276">
        <f t="shared" si="3"/>
        <v>0</v>
      </c>
    </row>
    <row r="46" spans="1:7" x14ac:dyDescent="0.2">
      <c r="A46" s="274" t="s">
        <v>622</v>
      </c>
      <c r="B46" s="263">
        <v>622.88100000000009</v>
      </c>
      <c r="C46" s="263">
        <v>256.67900000000003</v>
      </c>
      <c r="D46" s="149">
        <v>167.41300000000001</v>
      </c>
      <c r="E46" s="263">
        <v>10.408999999999999</v>
      </c>
      <c r="F46" s="149">
        <v>188.38</v>
      </c>
      <c r="G46" s="265">
        <v>0</v>
      </c>
    </row>
    <row r="47" spans="1:7" x14ac:dyDescent="0.2">
      <c r="A47" s="274" t="s">
        <v>623</v>
      </c>
      <c r="B47" s="263">
        <v>-114.54600000000001</v>
      </c>
      <c r="C47" s="263">
        <v>-33.731000000000002</v>
      </c>
      <c r="D47" s="149">
        <v>-41.545999999999999</v>
      </c>
      <c r="E47" s="263">
        <v>-21.499000000000002</v>
      </c>
      <c r="F47" s="265">
        <v>-17.77</v>
      </c>
      <c r="G47" s="265">
        <v>0</v>
      </c>
    </row>
    <row r="48" spans="1:7" x14ac:dyDescent="0.2">
      <c r="A48" s="274" t="s">
        <v>624</v>
      </c>
      <c r="B48" s="263">
        <v>-10.036999999999995</v>
      </c>
      <c r="C48" s="263">
        <v>116.77800000000001</v>
      </c>
      <c r="D48" s="263">
        <v>-101.62</v>
      </c>
      <c r="E48" s="263">
        <v>-24.004999999999999</v>
      </c>
      <c r="F48" s="149">
        <v>-1.1899999999999977</v>
      </c>
      <c r="G48" s="265">
        <v>0</v>
      </c>
    </row>
    <row r="49" spans="1:7" x14ac:dyDescent="0.2">
      <c r="A49" s="272" t="s">
        <v>625</v>
      </c>
      <c r="B49" s="277">
        <f>+B45+B26+B46+B47+B48</f>
        <v>79947.112999999998</v>
      </c>
      <c r="C49" s="277">
        <f t="shared" ref="C49:G49" si="4">+C45+C26+C46+C47+C48</f>
        <v>24307.635999999995</v>
      </c>
      <c r="D49" s="277">
        <f t="shared" si="4"/>
        <v>3698.1400000000003</v>
      </c>
      <c r="E49" s="277">
        <f t="shared" si="4"/>
        <v>14631.427000000001</v>
      </c>
      <c r="F49" s="277">
        <f t="shared" si="4"/>
        <v>37309.909999999996</v>
      </c>
      <c r="G49" s="277">
        <f t="shared" si="4"/>
        <v>0</v>
      </c>
    </row>
  </sheetData>
  <pageMargins left="0.7" right="0.7" top="0.75" bottom="0.75" header="0.3" footer="0.3"/>
  <pageSetup paperSize="9"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workbookViewId="0">
      <selection activeCell="L1" sqref="L1:L1048576"/>
    </sheetView>
  </sheetViews>
  <sheetFormatPr baseColWidth="10" defaultRowHeight="15" x14ac:dyDescent="0.25"/>
  <cols>
    <col min="1" max="1" width="19" customWidth="1"/>
  </cols>
  <sheetData>
    <row r="1" spans="1:8" ht="15" customHeight="1" x14ac:dyDescent="0.25">
      <c r="A1" s="437" t="s">
        <v>626</v>
      </c>
      <c r="B1" s="437"/>
      <c r="C1" s="437"/>
      <c r="D1" s="437"/>
      <c r="E1" s="437"/>
      <c r="F1" s="437"/>
      <c r="G1" s="437"/>
      <c r="H1" s="437"/>
    </row>
    <row r="2" spans="1:8" x14ac:dyDescent="0.25">
      <c r="A2" s="278" t="s">
        <v>627</v>
      </c>
      <c r="B2" s="278">
        <v>2013</v>
      </c>
      <c r="C2" s="278">
        <v>2014</v>
      </c>
      <c r="D2" s="278">
        <v>2015</v>
      </c>
      <c r="E2" s="278">
        <v>2016</v>
      </c>
      <c r="F2" s="278">
        <v>2017</v>
      </c>
      <c r="G2" s="278">
        <v>2018</v>
      </c>
      <c r="H2" s="278">
        <v>2019</v>
      </c>
    </row>
    <row r="3" spans="1:8" ht="18.75" customHeight="1" x14ac:dyDescent="0.25">
      <c r="A3" s="279" t="s">
        <v>584</v>
      </c>
      <c r="B3" s="280">
        <v>5.4327665244040757</v>
      </c>
      <c r="C3" s="280">
        <v>5.8921287671232871</v>
      </c>
      <c r="D3" s="280">
        <v>6.0029561643835612</v>
      </c>
      <c r="E3" s="280">
        <v>6.3132704918032791</v>
      </c>
      <c r="F3" s="280">
        <v>6.1505972602739725</v>
      </c>
      <c r="G3" s="280">
        <v>6.5504849315068485</v>
      </c>
      <c r="H3" s="280">
        <v>6.9837123287671243</v>
      </c>
    </row>
    <row r="4" spans="1:8" x14ac:dyDescent="0.25">
      <c r="A4" s="279" t="s">
        <v>628</v>
      </c>
      <c r="B4" s="263">
        <v>33.748394933934328</v>
      </c>
      <c r="C4" s="263">
        <v>34.997191780821922</v>
      </c>
      <c r="D4" s="263">
        <v>39.227865753424659</v>
      </c>
      <c r="E4" s="263">
        <v>42.775928961748633</v>
      </c>
      <c r="F4" s="263">
        <v>44.706739726027401</v>
      </c>
      <c r="G4" s="263">
        <v>46.152693150684932</v>
      </c>
      <c r="H4" s="263">
        <v>47.688304109589041</v>
      </c>
    </row>
    <row r="5" spans="1:8" x14ac:dyDescent="0.25">
      <c r="A5" s="279" t="s">
        <v>587</v>
      </c>
      <c r="B5" s="280">
        <v>14.821652528375736</v>
      </c>
      <c r="C5" s="280">
        <v>16.011353424657536</v>
      </c>
      <c r="D5" s="280">
        <v>13.280947945205478</v>
      </c>
      <c r="E5" s="280">
        <v>13.655002732240439</v>
      </c>
      <c r="F5" s="280">
        <v>13.280621917808219</v>
      </c>
      <c r="G5" s="280">
        <v>13.563457534246574</v>
      </c>
      <c r="H5" s="280">
        <v>14.889008219178082</v>
      </c>
    </row>
    <row r="6" spans="1:8" x14ac:dyDescent="0.25">
      <c r="A6" s="279" t="s">
        <v>589</v>
      </c>
      <c r="B6" s="263">
        <v>70.913935435626726</v>
      </c>
      <c r="C6" s="263">
        <v>61.05053698630136</v>
      </c>
      <c r="D6" s="263">
        <v>58.007427397260273</v>
      </c>
      <c r="E6" s="263">
        <v>61.292275956284151</v>
      </c>
      <c r="F6" s="263">
        <v>59.250671232876719</v>
      </c>
      <c r="G6" s="263">
        <v>55.485238356164388</v>
      </c>
      <c r="H6" s="263">
        <v>52.088534246575335</v>
      </c>
    </row>
    <row r="7" spans="1:8" ht="15" customHeight="1" x14ac:dyDescent="0.25">
      <c r="A7" s="279" t="s">
        <v>629</v>
      </c>
      <c r="B7" s="280">
        <v>21.469468480104368</v>
      </c>
      <c r="C7" s="280">
        <v>23.946547945205484</v>
      </c>
      <c r="D7" s="280">
        <v>29.274632876712325</v>
      </c>
      <c r="E7" s="280">
        <v>35.505560109289618</v>
      </c>
      <c r="F7" s="280">
        <v>50.156369863013708</v>
      </c>
      <c r="G7" s="280">
        <v>44.121169863013698</v>
      </c>
      <c r="H7" s="280">
        <v>32.1823506849315</v>
      </c>
    </row>
    <row r="8" spans="1:8" x14ac:dyDescent="0.25">
      <c r="A8" s="279" t="s">
        <v>593</v>
      </c>
      <c r="B8" s="263">
        <v>8.6702104300501528</v>
      </c>
      <c r="C8" s="263">
        <v>6.0546575342465738</v>
      </c>
      <c r="D8" s="263">
        <v>6.6155972602739732</v>
      </c>
      <c r="E8" s="263">
        <v>7.4765409836065579</v>
      </c>
      <c r="F8" s="263">
        <v>7.3178739726027411</v>
      </c>
      <c r="G8" s="263">
        <v>9.2899561643835629</v>
      </c>
      <c r="H8" s="263">
        <v>12.531419178082194</v>
      </c>
    </row>
    <row r="9" spans="1:8" x14ac:dyDescent="0.25">
      <c r="A9" s="279" t="s">
        <v>595</v>
      </c>
      <c r="B9" s="280">
        <v>4.5948668219178082</v>
      </c>
      <c r="C9" s="280">
        <v>5.3056410958904117</v>
      </c>
      <c r="D9" s="280">
        <v>4.768504109589041</v>
      </c>
      <c r="E9" s="280">
        <v>4.3756994535519125</v>
      </c>
      <c r="F9" s="280">
        <v>5.4515287671232882</v>
      </c>
      <c r="G9" s="280">
        <v>5.2502054794520552</v>
      </c>
      <c r="H9" s="280">
        <v>4.7093397260273973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workbookViewId="0">
      <selection activeCell="L1" sqref="L1:L1048576"/>
    </sheetView>
  </sheetViews>
  <sheetFormatPr baseColWidth="10" defaultRowHeight="15" x14ac:dyDescent="0.25"/>
  <cols>
    <col min="1" max="1" width="14.85546875" customWidth="1"/>
    <col min="2" max="2" width="17.42578125" customWidth="1"/>
    <col min="3" max="3" width="13.28515625" customWidth="1"/>
    <col min="4" max="4" width="13" customWidth="1"/>
    <col min="5" max="5" width="13.140625" customWidth="1"/>
  </cols>
  <sheetData>
    <row r="1" spans="1:8" ht="15" customHeight="1" x14ac:dyDescent="0.25">
      <c r="A1" s="438" t="s">
        <v>630</v>
      </c>
      <c r="B1" s="438"/>
      <c r="C1" s="438"/>
      <c r="D1" s="438"/>
      <c r="E1" s="438"/>
      <c r="F1" s="438"/>
      <c r="G1" s="438"/>
      <c r="H1" s="438"/>
    </row>
    <row r="2" spans="1:8" ht="22.5" x14ac:dyDescent="0.25">
      <c r="A2" s="256" t="s">
        <v>631</v>
      </c>
      <c r="B2" s="256" t="s">
        <v>632</v>
      </c>
      <c r="C2" s="256" t="s">
        <v>566</v>
      </c>
      <c r="D2" s="256" t="s">
        <v>584</v>
      </c>
      <c r="E2" s="256" t="s">
        <v>633</v>
      </c>
      <c r="F2" s="256" t="s">
        <v>634</v>
      </c>
      <c r="G2" s="256" t="s">
        <v>543</v>
      </c>
      <c r="H2" s="256" t="s">
        <v>116</v>
      </c>
    </row>
    <row r="3" spans="1:8" x14ac:dyDescent="0.25">
      <c r="A3" s="281" t="s">
        <v>635</v>
      </c>
      <c r="B3" s="243">
        <v>99.445730000000026</v>
      </c>
      <c r="C3" s="243"/>
      <c r="D3" s="243">
        <v>315.05369000000007</v>
      </c>
      <c r="E3" s="243"/>
      <c r="F3" s="243"/>
      <c r="G3" s="243"/>
      <c r="H3" s="243">
        <f>+SUM(B3:G3)</f>
        <v>414.4994200000001</v>
      </c>
    </row>
    <row r="4" spans="1:8" x14ac:dyDescent="0.25">
      <c r="A4" s="282" t="s">
        <v>636</v>
      </c>
      <c r="B4" s="283"/>
      <c r="C4" s="283">
        <v>172.488</v>
      </c>
      <c r="D4" s="283">
        <v>102.42300000000002</v>
      </c>
      <c r="E4" s="283"/>
      <c r="F4" s="283"/>
      <c r="G4" s="283"/>
      <c r="H4" s="283">
        <f t="shared" ref="H4:H6" si="0">+SUM(B4:G4)</f>
        <v>274.911</v>
      </c>
    </row>
    <row r="5" spans="1:8" x14ac:dyDescent="0.25">
      <c r="A5" s="281" t="s">
        <v>637</v>
      </c>
      <c r="B5" s="243"/>
      <c r="C5" s="243">
        <v>10935.899999999998</v>
      </c>
      <c r="D5" s="243"/>
      <c r="E5" s="243">
        <v>14357.900000000001</v>
      </c>
      <c r="F5" s="243">
        <v>1679.7000000000003</v>
      </c>
      <c r="G5" s="243">
        <v>162.80600000000001</v>
      </c>
      <c r="H5" s="243">
        <f t="shared" si="0"/>
        <v>27136.306</v>
      </c>
    </row>
    <row r="6" spans="1:8" x14ac:dyDescent="0.25">
      <c r="A6" s="282" t="s">
        <v>638</v>
      </c>
      <c r="B6" s="283">
        <v>106.47499999999999</v>
      </c>
      <c r="C6" s="283"/>
      <c r="D6" s="283">
        <v>242.81600000000003</v>
      </c>
      <c r="E6" s="283"/>
      <c r="F6" s="283"/>
      <c r="G6" s="283"/>
      <c r="H6" s="283">
        <f t="shared" si="0"/>
        <v>349.29100000000005</v>
      </c>
    </row>
    <row r="7" spans="1:8" x14ac:dyDescent="0.25">
      <c r="A7" s="256" t="s">
        <v>116</v>
      </c>
      <c r="B7" s="284">
        <f>+SUM(B3:B6)</f>
        <v>205.92073000000002</v>
      </c>
      <c r="C7" s="284">
        <f t="shared" ref="C7:G7" si="1">+SUM(C3:C6)</f>
        <v>11108.387999999997</v>
      </c>
      <c r="D7" s="284">
        <f t="shared" si="1"/>
        <v>660.29269000000011</v>
      </c>
      <c r="E7" s="284">
        <f t="shared" si="1"/>
        <v>14357.900000000001</v>
      </c>
      <c r="F7" s="284">
        <f t="shared" si="1"/>
        <v>1679.7000000000003</v>
      </c>
      <c r="G7" s="284">
        <f t="shared" si="1"/>
        <v>162.80600000000001</v>
      </c>
      <c r="H7" s="284">
        <f>+SUM(H3:H6)</f>
        <v>28175.007420000002</v>
      </c>
    </row>
  </sheetData>
  <mergeCells count="1">
    <mergeCell ref="A1:H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workbookViewId="0">
      <selection activeCell="L1" sqref="L1:L1048576"/>
    </sheetView>
  </sheetViews>
  <sheetFormatPr baseColWidth="10" defaultRowHeight="11.25" x14ac:dyDescent="0.2"/>
  <cols>
    <col min="1" max="1" width="24.140625" style="57" customWidth="1"/>
    <col min="2" max="16384" width="11.42578125" style="57"/>
  </cols>
  <sheetData>
    <row r="1" spans="1:8" ht="11.25" customHeight="1" x14ac:dyDescent="0.2">
      <c r="A1" s="438" t="s">
        <v>630</v>
      </c>
      <c r="B1" s="438"/>
      <c r="C1" s="438"/>
      <c r="D1" s="438"/>
      <c r="E1" s="438"/>
      <c r="F1" s="438"/>
      <c r="G1" s="438"/>
      <c r="H1" s="438"/>
    </row>
    <row r="2" spans="1:8" x14ac:dyDescent="0.2">
      <c r="A2" s="256" t="s">
        <v>579</v>
      </c>
      <c r="B2" s="256">
        <v>2013</v>
      </c>
      <c r="C2" s="256">
        <v>2014</v>
      </c>
      <c r="D2" s="256">
        <v>2015</v>
      </c>
      <c r="E2" s="256">
        <v>2016</v>
      </c>
      <c r="F2" s="256">
        <v>2017</v>
      </c>
      <c r="G2" s="256">
        <v>2018</v>
      </c>
      <c r="H2" s="256">
        <v>2019</v>
      </c>
    </row>
    <row r="3" spans="1:8" x14ac:dyDescent="0.2">
      <c r="A3" s="285" t="s">
        <v>639</v>
      </c>
      <c r="B3" s="286">
        <f t="shared" ref="B3:H3" si="0">+SUM(B4:B7)</f>
        <v>257.65334000000001</v>
      </c>
      <c r="C3" s="286">
        <f t="shared" si="0"/>
        <v>384.13027</v>
      </c>
      <c r="D3" s="286">
        <f t="shared" si="0"/>
        <v>446.79883000000001</v>
      </c>
      <c r="E3" s="286">
        <f t="shared" si="0"/>
        <v>456.03</v>
      </c>
      <c r="F3" s="286">
        <f t="shared" si="0"/>
        <v>386.05617000000007</v>
      </c>
      <c r="G3" s="286">
        <f t="shared" si="0"/>
        <v>378.40957000000003</v>
      </c>
      <c r="H3" s="286">
        <f t="shared" si="0"/>
        <v>414.4994200000001</v>
      </c>
    </row>
    <row r="4" spans="1:8" x14ac:dyDescent="0.2">
      <c r="A4" s="287" t="s">
        <v>566</v>
      </c>
      <c r="B4" s="149">
        <v>0</v>
      </c>
      <c r="C4" s="149">
        <v>0</v>
      </c>
      <c r="D4" s="149">
        <v>0</v>
      </c>
      <c r="E4" s="149">
        <v>0</v>
      </c>
      <c r="F4" s="149">
        <v>0</v>
      </c>
      <c r="G4" s="265">
        <v>0</v>
      </c>
      <c r="H4" s="265">
        <v>0</v>
      </c>
    </row>
    <row r="5" spans="1:8" x14ac:dyDescent="0.2">
      <c r="A5" s="287" t="s">
        <v>584</v>
      </c>
      <c r="B5" s="149">
        <v>199.88463000000002</v>
      </c>
      <c r="C5" s="149">
        <v>296.19310000000002</v>
      </c>
      <c r="D5" s="149">
        <v>342.14357000000001</v>
      </c>
      <c r="E5" s="149">
        <v>350.46</v>
      </c>
      <c r="F5" s="149">
        <v>315.73319000000004</v>
      </c>
      <c r="G5" s="149">
        <v>305.20049</v>
      </c>
      <c r="H5" s="149">
        <v>315.05369000000007</v>
      </c>
    </row>
    <row r="6" spans="1:8" x14ac:dyDescent="0.2">
      <c r="A6" s="287" t="s">
        <v>640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265">
        <v>0</v>
      </c>
      <c r="H6" s="265">
        <v>0</v>
      </c>
    </row>
    <row r="7" spans="1:8" ht="12" customHeight="1" x14ac:dyDescent="0.2">
      <c r="A7" s="287" t="s">
        <v>632</v>
      </c>
      <c r="B7" s="149">
        <v>57.768710000000013</v>
      </c>
      <c r="C7" s="149">
        <v>87.937169999999981</v>
      </c>
      <c r="D7" s="149">
        <v>104.65525999999998</v>
      </c>
      <c r="E7" s="149">
        <v>105.57</v>
      </c>
      <c r="F7" s="149">
        <v>70.322980000000001</v>
      </c>
      <c r="G7" s="149">
        <v>73.20908</v>
      </c>
      <c r="H7" s="149">
        <v>99.445730000000026</v>
      </c>
    </row>
    <row r="8" spans="1:8" x14ac:dyDescent="0.2">
      <c r="A8" s="285" t="s">
        <v>641</v>
      </c>
      <c r="B8" s="288">
        <f t="shared" ref="B8:H8" si="1">+SUM(B9:B10)</f>
        <v>836.702</v>
      </c>
      <c r="C8" s="288">
        <f t="shared" si="1"/>
        <v>784.39999999999986</v>
      </c>
      <c r="D8" s="288">
        <f t="shared" si="1"/>
        <v>719.66699999999992</v>
      </c>
      <c r="E8" s="288">
        <f t="shared" si="1"/>
        <v>470</v>
      </c>
      <c r="F8" s="288">
        <f t="shared" si="1"/>
        <v>413.01900000000001</v>
      </c>
      <c r="G8" s="288">
        <f t="shared" si="1"/>
        <v>393.36899999999997</v>
      </c>
      <c r="H8" s="288">
        <f t="shared" si="1"/>
        <v>274.911</v>
      </c>
    </row>
    <row r="9" spans="1:8" x14ac:dyDescent="0.2">
      <c r="A9" s="287" t="s">
        <v>566</v>
      </c>
      <c r="B9" s="149">
        <v>493.34800000000001</v>
      </c>
      <c r="C9" s="149">
        <v>464.80299999999994</v>
      </c>
      <c r="D9" s="149">
        <v>438.44399999999996</v>
      </c>
      <c r="E9" s="149">
        <v>291.61</v>
      </c>
      <c r="F9" s="149">
        <v>255.99600000000001</v>
      </c>
      <c r="G9" s="149">
        <v>244.66799999999998</v>
      </c>
      <c r="H9" s="149">
        <v>172.488</v>
      </c>
    </row>
    <row r="10" spans="1:8" x14ac:dyDescent="0.2">
      <c r="A10" s="287" t="s">
        <v>584</v>
      </c>
      <c r="B10" s="149">
        <v>343.35400000000004</v>
      </c>
      <c r="C10" s="149">
        <v>319.59699999999998</v>
      </c>
      <c r="D10" s="149">
        <v>281.22300000000001</v>
      </c>
      <c r="E10" s="149">
        <v>178.39</v>
      </c>
      <c r="F10" s="149">
        <v>157.023</v>
      </c>
      <c r="G10" s="149">
        <v>148.70099999999999</v>
      </c>
      <c r="H10" s="149">
        <v>102.42300000000002</v>
      </c>
    </row>
    <row r="11" spans="1:8" ht="18" customHeight="1" x14ac:dyDescent="0.2">
      <c r="A11" s="285" t="s">
        <v>642</v>
      </c>
      <c r="B11" s="288">
        <f t="shared" ref="B11:G11" si="2">+SUM(B12:B15)</f>
        <v>36408.699999999997</v>
      </c>
      <c r="C11" s="288">
        <f t="shared" si="2"/>
        <v>34731.300000000003</v>
      </c>
      <c r="D11" s="288">
        <f t="shared" si="2"/>
        <v>30001.599999999999</v>
      </c>
      <c r="E11" s="288">
        <f t="shared" si="2"/>
        <v>30605.8</v>
      </c>
      <c r="F11" s="288">
        <f t="shared" si="2"/>
        <v>27968.845999999998</v>
      </c>
      <c r="G11" s="288">
        <f t="shared" si="2"/>
        <v>26271.7</v>
      </c>
      <c r="H11" s="288">
        <f>+SUM(H12:H15)</f>
        <v>27136.306</v>
      </c>
    </row>
    <row r="12" spans="1:8" x14ac:dyDescent="0.2">
      <c r="A12" s="287" t="s">
        <v>566</v>
      </c>
      <c r="B12" s="149">
        <v>14712.4</v>
      </c>
      <c r="C12" s="149">
        <v>13761.8</v>
      </c>
      <c r="D12" s="149">
        <v>11639.300000000001</v>
      </c>
      <c r="E12" s="149">
        <v>12547.5</v>
      </c>
      <c r="F12" s="149">
        <v>11256.745999999999</v>
      </c>
      <c r="G12" s="149">
        <v>10823.4</v>
      </c>
      <c r="H12" s="149">
        <v>10935.899999999998</v>
      </c>
    </row>
    <row r="13" spans="1:8" x14ac:dyDescent="0.2">
      <c r="A13" s="287" t="s">
        <v>640</v>
      </c>
      <c r="B13" s="149">
        <v>18035.3</v>
      </c>
      <c r="C13" s="149">
        <v>17216.400000000001</v>
      </c>
      <c r="D13" s="149">
        <v>15438.799999999997</v>
      </c>
      <c r="E13" s="149">
        <v>15283.7</v>
      </c>
      <c r="F13" s="149">
        <v>14565.5</v>
      </c>
      <c r="G13" s="149">
        <v>13677.1</v>
      </c>
      <c r="H13" s="149">
        <v>14357.900000000001</v>
      </c>
    </row>
    <row r="14" spans="1:8" x14ac:dyDescent="0.2">
      <c r="A14" s="287" t="s">
        <v>643</v>
      </c>
      <c r="B14" s="149">
        <v>3661</v>
      </c>
      <c r="C14" s="149">
        <v>3753.1000000000004</v>
      </c>
      <c r="D14" s="149">
        <v>2923.5</v>
      </c>
      <c r="E14" s="149">
        <v>2774.6</v>
      </c>
      <c r="F14" s="149">
        <v>2146.6000000000004</v>
      </c>
      <c r="G14" s="149">
        <v>1771.2</v>
      </c>
      <c r="H14" s="149">
        <v>1679.7000000000003</v>
      </c>
    </row>
    <row r="15" spans="1:8" x14ac:dyDescent="0.2">
      <c r="A15" s="287" t="s">
        <v>543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162.80600000000001</v>
      </c>
    </row>
    <row r="16" spans="1:8" ht="13.5" customHeight="1" x14ac:dyDescent="0.2">
      <c r="A16" s="285" t="s">
        <v>644</v>
      </c>
      <c r="B16" s="288">
        <f t="shared" ref="B16:H16" si="3">+SUM(B17:B19)</f>
        <v>479.16900000000004</v>
      </c>
      <c r="C16" s="288">
        <f t="shared" si="3"/>
        <v>466.37700000000001</v>
      </c>
      <c r="D16" s="288">
        <f t="shared" si="3"/>
        <v>469.61040476190476</v>
      </c>
      <c r="E16" s="288">
        <f t="shared" si="3"/>
        <v>429.71999999999997</v>
      </c>
      <c r="F16" s="288">
        <f t="shared" si="3"/>
        <v>374.67964285714288</v>
      </c>
      <c r="G16" s="288">
        <f t="shared" si="3"/>
        <v>364.76500000000004</v>
      </c>
      <c r="H16" s="288">
        <f t="shared" si="3"/>
        <v>349.29100000000005</v>
      </c>
    </row>
    <row r="17" spans="1:8" x14ac:dyDescent="0.2">
      <c r="A17" s="287" t="s">
        <v>566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</row>
    <row r="18" spans="1:8" x14ac:dyDescent="0.2">
      <c r="A18" s="287" t="s">
        <v>640</v>
      </c>
      <c r="B18" s="149">
        <v>339.43</v>
      </c>
      <c r="C18" s="149">
        <v>328.6</v>
      </c>
      <c r="D18" s="149">
        <v>333.68899999999996</v>
      </c>
      <c r="E18" s="149">
        <v>303.14</v>
      </c>
      <c r="F18" s="149">
        <v>260.16164285714285</v>
      </c>
      <c r="G18" s="149">
        <v>262.67700000000002</v>
      </c>
      <c r="H18" s="149">
        <v>242.81600000000003</v>
      </c>
    </row>
    <row r="19" spans="1:8" ht="16.5" customHeight="1" x14ac:dyDescent="0.2">
      <c r="A19" s="287" t="s">
        <v>632</v>
      </c>
      <c r="B19" s="149">
        <v>139.73900000000003</v>
      </c>
      <c r="C19" s="149">
        <v>137.77699999999999</v>
      </c>
      <c r="D19" s="149">
        <v>135.92140476190477</v>
      </c>
      <c r="E19" s="149">
        <v>126.58</v>
      </c>
      <c r="F19" s="149">
        <v>114.518</v>
      </c>
      <c r="G19" s="149">
        <v>102.08800000000001</v>
      </c>
      <c r="H19" s="149">
        <v>106.47499999999999</v>
      </c>
    </row>
    <row r="20" spans="1:8" x14ac:dyDescent="0.2">
      <c r="A20" s="256" t="s">
        <v>116</v>
      </c>
      <c r="B20" s="289">
        <f t="shared" ref="B20:G20" si="4">+B3+B8+B11+B16</f>
        <v>37982.224340000001</v>
      </c>
      <c r="C20" s="289">
        <f t="shared" si="4"/>
        <v>36366.207270000006</v>
      </c>
      <c r="D20" s="289">
        <f t="shared" si="4"/>
        <v>31637.676234761904</v>
      </c>
      <c r="E20" s="289">
        <f t="shared" si="4"/>
        <v>31961.55</v>
      </c>
      <c r="F20" s="289">
        <f t="shared" si="4"/>
        <v>29142.600812857141</v>
      </c>
      <c r="G20" s="289">
        <f t="shared" si="4"/>
        <v>27408.243569999999</v>
      </c>
      <c r="H20" s="289">
        <f>+H3+H8+H11+H16</f>
        <v>28175.007420000002</v>
      </c>
    </row>
  </sheetData>
  <mergeCells count="1"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workbookViewId="0">
      <selection activeCell="L1" sqref="L1:L1048576"/>
    </sheetView>
  </sheetViews>
  <sheetFormatPr baseColWidth="10" defaultRowHeight="11.25" x14ac:dyDescent="0.2"/>
  <cols>
    <col min="1" max="1" width="28.42578125" style="57" customWidth="1"/>
    <col min="2" max="6" width="11.42578125" style="57"/>
    <col min="7" max="7" width="16.5703125" style="57" customWidth="1"/>
    <col min="8" max="16384" width="11.42578125" style="57"/>
  </cols>
  <sheetData>
    <row r="1" spans="1:7" ht="22.5" customHeight="1" x14ac:dyDescent="0.2">
      <c r="A1" s="438" t="s">
        <v>645</v>
      </c>
      <c r="B1" s="438"/>
      <c r="C1" s="438"/>
      <c r="D1" s="438"/>
      <c r="E1" s="438"/>
      <c r="F1" s="438"/>
      <c r="G1" s="438"/>
    </row>
    <row r="2" spans="1:7" ht="13.5" customHeight="1" x14ac:dyDescent="0.2">
      <c r="A2" s="256" t="s">
        <v>579</v>
      </c>
      <c r="B2" s="256" t="s">
        <v>574</v>
      </c>
      <c r="C2" s="256" t="s">
        <v>646</v>
      </c>
      <c r="D2" s="256" t="s">
        <v>575</v>
      </c>
      <c r="E2" s="256" t="s">
        <v>647</v>
      </c>
      <c r="F2" s="256" t="s">
        <v>648</v>
      </c>
      <c r="G2" s="256" t="s">
        <v>649</v>
      </c>
    </row>
    <row r="3" spans="1:7" x14ac:dyDescent="0.2">
      <c r="A3" s="290" t="s">
        <v>650</v>
      </c>
      <c r="B3" s="291">
        <v>238.76599999999999</v>
      </c>
      <c r="C3" s="291">
        <v>118.128</v>
      </c>
      <c r="D3" s="291">
        <v>165.566</v>
      </c>
      <c r="E3" s="291">
        <v>5.2119999999999997</v>
      </c>
      <c r="F3" s="291">
        <v>687.17</v>
      </c>
      <c r="G3" s="292">
        <f>+SUM(B3:F3)</f>
        <v>1214.8420000000001</v>
      </c>
    </row>
    <row r="4" spans="1:7" x14ac:dyDescent="0.2">
      <c r="A4" s="293" t="s">
        <v>651</v>
      </c>
      <c r="B4" s="294"/>
      <c r="C4" s="294"/>
      <c r="D4" s="294"/>
      <c r="E4" s="294"/>
      <c r="F4" s="294"/>
      <c r="G4" s="294"/>
    </row>
    <row r="5" spans="1:7" x14ac:dyDescent="0.2">
      <c r="A5" s="295" t="s">
        <v>652</v>
      </c>
      <c r="B5" s="296">
        <v>54.259</v>
      </c>
      <c r="C5" s="296">
        <v>17.379000000000001</v>
      </c>
      <c r="D5" s="296">
        <v>4.742</v>
      </c>
      <c r="E5" s="297">
        <v>3.0000000000000001E-3</v>
      </c>
      <c r="F5" s="296"/>
      <c r="G5" s="292">
        <f t="shared" ref="G5:G27" si="0">+SUM(B5:F5)</f>
        <v>76.38300000000001</v>
      </c>
    </row>
    <row r="6" spans="1:7" x14ac:dyDescent="0.2">
      <c r="A6" s="295" t="s">
        <v>653</v>
      </c>
      <c r="B6" s="296">
        <v>2.4E-2</v>
      </c>
      <c r="C6" s="298">
        <v>4.9409999999999998</v>
      </c>
      <c r="D6" s="298"/>
      <c r="E6" s="298"/>
      <c r="F6" s="298"/>
      <c r="G6" s="292">
        <f t="shared" si="0"/>
        <v>4.9649999999999999</v>
      </c>
    </row>
    <row r="7" spans="1:7" x14ac:dyDescent="0.2">
      <c r="A7" s="295" t="s">
        <v>654</v>
      </c>
      <c r="B7" s="296">
        <v>255.32599999999999</v>
      </c>
      <c r="C7" s="298"/>
      <c r="D7" s="298"/>
      <c r="E7" s="298"/>
      <c r="F7" s="298"/>
      <c r="G7" s="292">
        <f t="shared" si="0"/>
        <v>255.32599999999999</v>
      </c>
    </row>
    <row r="8" spans="1:7" x14ac:dyDescent="0.2">
      <c r="A8" s="295" t="s">
        <v>655</v>
      </c>
      <c r="B8" s="298"/>
      <c r="C8" s="298">
        <v>5.6829999999999998</v>
      </c>
      <c r="D8" s="298"/>
      <c r="E8" s="298"/>
      <c r="F8" s="298"/>
      <c r="G8" s="292">
        <f t="shared" si="0"/>
        <v>5.6829999999999998</v>
      </c>
    </row>
    <row r="9" spans="1:7" ht="12" customHeight="1" x14ac:dyDescent="0.2">
      <c r="A9" s="295" t="s">
        <v>656</v>
      </c>
      <c r="B9" s="296">
        <v>21.797000000000001</v>
      </c>
      <c r="C9" s="298">
        <v>101.38</v>
      </c>
      <c r="D9" s="296">
        <v>39.252000000000002</v>
      </c>
      <c r="E9" s="297">
        <v>3.0000000000000001E-3</v>
      </c>
      <c r="F9" s="298">
        <v>2.06</v>
      </c>
      <c r="G9" s="292">
        <f t="shared" si="0"/>
        <v>164.49199999999999</v>
      </c>
    </row>
    <row r="10" spans="1:7" ht="12" customHeight="1" x14ac:dyDescent="0.2">
      <c r="A10" s="295" t="s">
        <v>657</v>
      </c>
      <c r="B10" s="296">
        <v>1.4319999999999999</v>
      </c>
      <c r="C10" s="296">
        <v>3.4000000000000002E-2</v>
      </c>
      <c r="D10" s="298"/>
      <c r="E10" s="298"/>
      <c r="F10" s="296">
        <v>85.81</v>
      </c>
      <c r="G10" s="292">
        <f t="shared" si="0"/>
        <v>87.275999999999996</v>
      </c>
    </row>
    <row r="11" spans="1:7" x14ac:dyDescent="0.2">
      <c r="A11" s="295" t="s">
        <v>658</v>
      </c>
      <c r="B11" s="296">
        <v>34.868000000000002</v>
      </c>
      <c r="C11" s="296">
        <v>39.988999999999997</v>
      </c>
      <c r="D11" s="296">
        <v>2.4449999999999998</v>
      </c>
      <c r="E11" s="296">
        <v>0.19</v>
      </c>
      <c r="F11" s="296">
        <v>49.95</v>
      </c>
      <c r="G11" s="292">
        <f t="shared" si="0"/>
        <v>127.44199999999999</v>
      </c>
    </row>
    <row r="12" spans="1:7" x14ac:dyDescent="0.2">
      <c r="A12" s="295" t="s">
        <v>659</v>
      </c>
      <c r="B12" s="296">
        <v>1.4E-2</v>
      </c>
      <c r="C12" s="298"/>
      <c r="D12" s="298"/>
      <c r="E12" s="298"/>
      <c r="F12" s="298"/>
      <c r="G12" s="292">
        <f t="shared" si="0"/>
        <v>1.4E-2</v>
      </c>
    </row>
    <row r="13" spans="1:7" x14ac:dyDescent="0.2">
      <c r="A13" s="295" t="s">
        <v>660</v>
      </c>
      <c r="B13" s="298">
        <v>0</v>
      </c>
      <c r="C13" s="298">
        <v>0</v>
      </c>
      <c r="D13" s="298">
        <v>0</v>
      </c>
      <c r="E13" s="298">
        <v>0</v>
      </c>
      <c r="F13" s="298">
        <v>0</v>
      </c>
      <c r="G13" s="292">
        <f t="shared" si="0"/>
        <v>0</v>
      </c>
    </row>
    <row r="14" spans="1:7" x14ac:dyDescent="0.2">
      <c r="A14" s="295" t="s">
        <v>661</v>
      </c>
      <c r="B14" s="296">
        <v>154.49299999999999</v>
      </c>
      <c r="C14" s="296">
        <v>4.2999999999999997E-2</v>
      </c>
      <c r="D14" s="296">
        <v>8.4640000000000004</v>
      </c>
      <c r="E14" s="298"/>
      <c r="F14" s="298"/>
      <c r="G14" s="292">
        <f t="shared" si="0"/>
        <v>163</v>
      </c>
    </row>
    <row r="15" spans="1:7" x14ac:dyDescent="0.2">
      <c r="A15" s="295" t="s">
        <v>662</v>
      </c>
      <c r="B15" s="296">
        <v>1.9330000000000001</v>
      </c>
      <c r="C15" s="298"/>
      <c r="D15" s="298"/>
      <c r="E15" s="298"/>
      <c r="F15" s="296">
        <v>256.57</v>
      </c>
      <c r="G15" s="292">
        <f t="shared" si="0"/>
        <v>258.50299999999999</v>
      </c>
    </row>
    <row r="16" spans="1:7" x14ac:dyDescent="0.2">
      <c r="A16" s="295" t="s">
        <v>663</v>
      </c>
      <c r="B16" s="298"/>
      <c r="C16" s="298"/>
      <c r="D16" s="298"/>
      <c r="E16" s="298"/>
      <c r="F16" s="296"/>
      <c r="G16" s="292">
        <f t="shared" si="0"/>
        <v>0</v>
      </c>
    </row>
    <row r="17" spans="1:7" x14ac:dyDescent="0.2">
      <c r="A17" s="295" t="s">
        <v>664</v>
      </c>
      <c r="B17" s="296">
        <v>0.26100000000000001</v>
      </c>
      <c r="C17" s="298"/>
      <c r="D17" s="298"/>
      <c r="E17" s="298"/>
      <c r="F17" s="298"/>
      <c r="G17" s="292">
        <f t="shared" si="0"/>
        <v>0.26100000000000001</v>
      </c>
    </row>
    <row r="18" spans="1:7" x14ac:dyDescent="0.2">
      <c r="A18" s="295" t="s">
        <v>665</v>
      </c>
      <c r="B18" s="296">
        <v>0.26200000000000001</v>
      </c>
      <c r="C18" s="298"/>
      <c r="D18" s="298"/>
      <c r="E18" s="298"/>
      <c r="F18" s="298"/>
      <c r="G18" s="292">
        <f t="shared" si="0"/>
        <v>0.26200000000000001</v>
      </c>
    </row>
    <row r="19" spans="1:7" x14ac:dyDescent="0.2">
      <c r="A19" s="295" t="s">
        <v>619</v>
      </c>
      <c r="B19" s="296"/>
      <c r="C19" s="298"/>
      <c r="D19" s="298"/>
      <c r="E19" s="298"/>
      <c r="F19" s="298">
        <v>364.06</v>
      </c>
      <c r="G19" s="292">
        <f t="shared" si="0"/>
        <v>364.06</v>
      </c>
    </row>
    <row r="20" spans="1:7" ht="12.75" customHeight="1" x14ac:dyDescent="0.2">
      <c r="A20" s="295" t="s">
        <v>666</v>
      </c>
      <c r="B20" s="296">
        <v>4.032</v>
      </c>
      <c r="C20" s="298"/>
      <c r="D20" s="298"/>
      <c r="E20" s="298"/>
      <c r="F20" s="298"/>
      <c r="G20" s="292">
        <f t="shared" si="0"/>
        <v>4.032</v>
      </c>
    </row>
    <row r="21" spans="1:7" x14ac:dyDescent="0.2">
      <c r="A21" s="295" t="s">
        <v>667</v>
      </c>
      <c r="B21" s="298"/>
      <c r="C21" s="298"/>
      <c r="D21" s="298"/>
      <c r="E21" s="298"/>
      <c r="F21" s="296">
        <v>8.32</v>
      </c>
      <c r="G21" s="292">
        <f t="shared" si="0"/>
        <v>8.32</v>
      </c>
    </row>
    <row r="22" spans="1:7" x14ac:dyDescent="0.2">
      <c r="A22" s="295" t="s">
        <v>668</v>
      </c>
      <c r="B22" s="298"/>
      <c r="C22" s="298"/>
      <c r="D22" s="298"/>
      <c r="E22" s="298"/>
      <c r="F22" s="296">
        <v>49.75</v>
      </c>
      <c r="G22" s="292">
        <f t="shared" si="0"/>
        <v>49.75</v>
      </c>
    </row>
    <row r="23" spans="1:7" x14ac:dyDescent="0.2">
      <c r="A23" s="295" t="s">
        <v>669</v>
      </c>
      <c r="B23" s="298"/>
      <c r="C23" s="298">
        <v>2.1999999999999999E-2</v>
      </c>
      <c r="D23" s="298"/>
      <c r="E23" s="298"/>
      <c r="F23" s="296"/>
      <c r="G23" s="292">
        <f t="shared" si="0"/>
        <v>2.1999999999999999E-2</v>
      </c>
    </row>
    <row r="24" spans="1:7" x14ac:dyDescent="0.2">
      <c r="A24" s="295" t="s">
        <v>621</v>
      </c>
      <c r="B24" s="298"/>
      <c r="C24" s="298"/>
      <c r="D24" s="298"/>
      <c r="E24" s="298"/>
      <c r="F24" s="298"/>
      <c r="G24" s="292">
        <f t="shared" si="0"/>
        <v>0</v>
      </c>
    </row>
    <row r="25" spans="1:7" x14ac:dyDescent="0.2">
      <c r="A25" s="295" t="s">
        <v>670</v>
      </c>
      <c r="B25" s="298"/>
      <c r="C25" s="298"/>
      <c r="D25" s="298"/>
      <c r="E25" s="298"/>
      <c r="F25" s="296">
        <v>3.55</v>
      </c>
      <c r="G25" s="292">
        <f t="shared" si="0"/>
        <v>3.55</v>
      </c>
    </row>
    <row r="26" spans="1:7" x14ac:dyDescent="0.2">
      <c r="A26" s="295" t="s">
        <v>671</v>
      </c>
      <c r="B26" s="296">
        <v>283.45</v>
      </c>
      <c r="C26" s="296">
        <v>35.415999999999997</v>
      </c>
      <c r="D26" s="296">
        <v>30.448</v>
      </c>
      <c r="E26" s="296">
        <v>1.7000000000000001E-2</v>
      </c>
      <c r="F26" s="296">
        <v>3.95</v>
      </c>
      <c r="G26" s="292">
        <f t="shared" si="0"/>
        <v>353.28099999999995</v>
      </c>
    </row>
    <row r="27" spans="1:7" x14ac:dyDescent="0.2">
      <c r="A27" s="295" t="s">
        <v>672</v>
      </c>
      <c r="B27" s="298"/>
      <c r="C27" s="296">
        <v>219.12200000000001</v>
      </c>
      <c r="D27" s="298"/>
      <c r="E27" s="298"/>
      <c r="F27" s="298"/>
      <c r="G27" s="292">
        <f t="shared" si="0"/>
        <v>219.12200000000001</v>
      </c>
    </row>
    <row r="28" spans="1:7" x14ac:dyDescent="0.2">
      <c r="A28" s="293" t="s">
        <v>673</v>
      </c>
      <c r="B28" s="294"/>
      <c r="C28" s="294"/>
      <c r="D28" s="294"/>
      <c r="E28" s="294"/>
      <c r="F28" s="294"/>
      <c r="G28" s="294"/>
    </row>
    <row r="29" spans="1:7" x14ac:dyDescent="0.2">
      <c r="A29" s="295" t="s">
        <v>674</v>
      </c>
      <c r="B29" s="296">
        <v>45.792999999999999</v>
      </c>
      <c r="C29" s="298"/>
      <c r="D29" s="298"/>
      <c r="E29" s="298"/>
      <c r="F29" s="296">
        <v>3.46</v>
      </c>
      <c r="G29" s="292">
        <f t="shared" ref="G29:G46" si="1">+SUM(B29:F29)</f>
        <v>49.253</v>
      </c>
    </row>
    <row r="30" spans="1:7" x14ac:dyDescent="0.2">
      <c r="A30" s="295" t="s">
        <v>675</v>
      </c>
      <c r="B30" s="298"/>
      <c r="C30" s="298"/>
      <c r="D30" s="298"/>
      <c r="E30" s="298"/>
      <c r="F30" s="296">
        <v>26.7</v>
      </c>
      <c r="G30" s="292">
        <f t="shared" si="1"/>
        <v>26.7</v>
      </c>
    </row>
    <row r="31" spans="1:7" ht="13.5" customHeight="1" x14ac:dyDescent="0.2">
      <c r="A31" s="295" t="s">
        <v>676</v>
      </c>
      <c r="B31" s="298"/>
      <c r="C31" s="296">
        <v>4.8620000000000001</v>
      </c>
      <c r="D31" s="298"/>
      <c r="E31" s="298"/>
      <c r="F31" s="296">
        <v>3.02</v>
      </c>
      <c r="G31" s="292">
        <f t="shared" si="1"/>
        <v>7.8819999999999997</v>
      </c>
    </row>
    <row r="32" spans="1:7" ht="13.5" customHeight="1" x14ac:dyDescent="0.2">
      <c r="A32" s="295" t="s">
        <v>677</v>
      </c>
      <c r="B32" s="296">
        <v>3.2669999999999999</v>
      </c>
      <c r="C32" s="296">
        <v>27.832000000000001</v>
      </c>
      <c r="D32" s="298"/>
      <c r="E32" s="298"/>
      <c r="F32" s="296">
        <v>15.83</v>
      </c>
      <c r="G32" s="292">
        <f t="shared" si="1"/>
        <v>46.929000000000002</v>
      </c>
    </row>
    <row r="33" spans="1:7" ht="13.5" customHeight="1" x14ac:dyDescent="0.2">
      <c r="A33" s="295" t="s">
        <v>678</v>
      </c>
      <c r="B33" s="296">
        <v>127.38</v>
      </c>
      <c r="C33" s="296">
        <v>82.503</v>
      </c>
      <c r="D33" s="296">
        <v>22.314</v>
      </c>
      <c r="E33" s="296">
        <v>1.194</v>
      </c>
      <c r="F33" s="296">
        <v>39.72</v>
      </c>
      <c r="G33" s="292">
        <f t="shared" si="1"/>
        <v>273.11099999999999</v>
      </c>
    </row>
    <row r="34" spans="1:7" ht="13.5" customHeight="1" x14ac:dyDescent="0.2">
      <c r="A34" s="295" t="s">
        <v>679</v>
      </c>
      <c r="B34" s="296">
        <v>96.506</v>
      </c>
      <c r="C34" s="296">
        <v>10.93</v>
      </c>
      <c r="D34" s="296">
        <v>57.101999999999997</v>
      </c>
      <c r="E34" s="296">
        <v>1.921</v>
      </c>
      <c r="F34" s="296">
        <v>26.87</v>
      </c>
      <c r="G34" s="292">
        <f t="shared" si="1"/>
        <v>193.32900000000001</v>
      </c>
    </row>
    <row r="35" spans="1:7" ht="13.5" customHeight="1" x14ac:dyDescent="0.2">
      <c r="A35" s="295" t="s">
        <v>680</v>
      </c>
      <c r="B35" s="296">
        <v>276.923</v>
      </c>
      <c r="C35" s="298"/>
      <c r="D35" s="296">
        <v>12.141999999999999</v>
      </c>
      <c r="E35" s="296">
        <v>0.26500000000000001</v>
      </c>
      <c r="F35" s="296">
        <v>114.26</v>
      </c>
      <c r="G35" s="292">
        <f t="shared" si="1"/>
        <v>403.59</v>
      </c>
    </row>
    <row r="36" spans="1:7" ht="13.5" customHeight="1" x14ac:dyDescent="0.2">
      <c r="A36" s="295" t="s">
        <v>681</v>
      </c>
      <c r="B36" s="296">
        <v>96.408000000000001</v>
      </c>
      <c r="C36" s="296">
        <v>2.8820000000000001</v>
      </c>
      <c r="D36" s="296">
        <v>61.765000000000001</v>
      </c>
      <c r="E36" s="296">
        <v>1.8959999999999999</v>
      </c>
      <c r="F36" s="298"/>
      <c r="G36" s="292">
        <f t="shared" si="1"/>
        <v>162.95099999999999</v>
      </c>
    </row>
    <row r="37" spans="1:7" ht="13.5" customHeight="1" x14ac:dyDescent="0.2">
      <c r="A37" s="295" t="s">
        <v>682</v>
      </c>
      <c r="B37" s="296">
        <v>52.426000000000002</v>
      </c>
      <c r="C37" s="298">
        <v>77.265999999999991</v>
      </c>
      <c r="D37" s="298"/>
      <c r="E37" s="296">
        <v>3.16</v>
      </c>
      <c r="F37" s="296">
        <v>481.97</v>
      </c>
      <c r="G37" s="292">
        <f t="shared" si="1"/>
        <v>614.822</v>
      </c>
    </row>
    <row r="38" spans="1:7" ht="13.5" customHeight="1" x14ac:dyDescent="0.2">
      <c r="A38" s="295" t="s">
        <v>683</v>
      </c>
      <c r="B38" s="296">
        <v>60.085000000000001</v>
      </c>
      <c r="C38" s="298"/>
      <c r="D38" s="298"/>
      <c r="E38" s="298"/>
      <c r="F38" s="298"/>
      <c r="G38" s="292">
        <f t="shared" si="1"/>
        <v>60.085000000000001</v>
      </c>
    </row>
    <row r="39" spans="1:7" ht="13.5" customHeight="1" x14ac:dyDescent="0.2">
      <c r="A39" s="295" t="s">
        <v>684</v>
      </c>
      <c r="B39" s="296">
        <v>19.617000000000001</v>
      </c>
      <c r="C39" s="298">
        <v>8.0530000000000008</v>
      </c>
      <c r="D39" s="298"/>
      <c r="E39" s="298"/>
      <c r="F39" s="296"/>
      <c r="G39" s="292">
        <f t="shared" si="1"/>
        <v>27.67</v>
      </c>
    </row>
    <row r="40" spans="1:7" ht="13.5" customHeight="1" x14ac:dyDescent="0.2">
      <c r="A40" s="295" t="s">
        <v>685</v>
      </c>
      <c r="B40" s="298"/>
      <c r="C40" s="296">
        <v>0.182</v>
      </c>
      <c r="D40" s="298"/>
      <c r="E40" s="298"/>
      <c r="F40" s="298"/>
      <c r="G40" s="292">
        <f t="shared" si="1"/>
        <v>0.182</v>
      </c>
    </row>
    <row r="41" spans="1:7" ht="13.5" customHeight="1" x14ac:dyDescent="0.2">
      <c r="A41" s="295" t="s">
        <v>686</v>
      </c>
      <c r="B41" s="296">
        <v>253.43700000000001</v>
      </c>
      <c r="C41" s="296">
        <v>67.206000000000003</v>
      </c>
      <c r="D41" s="296">
        <v>35.372</v>
      </c>
      <c r="E41" s="296">
        <v>2.274</v>
      </c>
      <c r="F41" s="296">
        <v>15.34</v>
      </c>
      <c r="G41" s="292">
        <f t="shared" si="1"/>
        <v>373.62900000000002</v>
      </c>
    </row>
    <row r="42" spans="1:7" ht="13.5" customHeight="1" x14ac:dyDescent="0.2">
      <c r="A42" s="295" t="s">
        <v>687</v>
      </c>
      <c r="B42" s="298">
        <v>138.19900000000001</v>
      </c>
      <c r="C42" s="296">
        <v>3.2440000000000002</v>
      </c>
      <c r="D42" s="298"/>
      <c r="E42" s="298"/>
      <c r="F42" s="296">
        <v>56.51</v>
      </c>
      <c r="G42" s="292">
        <f t="shared" si="1"/>
        <v>197.953</v>
      </c>
    </row>
    <row r="43" spans="1:7" ht="13.5" customHeight="1" x14ac:dyDescent="0.2">
      <c r="A43" s="295" t="s">
        <v>688</v>
      </c>
      <c r="B43" s="296">
        <v>3.7190000000000003</v>
      </c>
      <c r="C43" s="296">
        <v>4.4059999999999997</v>
      </c>
      <c r="D43" s="298"/>
      <c r="E43" s="298"/>
      <c r="F43" s="296">
        <v>2.42</v>
      </c>
      <c r="G43" s="292">
        <f t="shared" si="1"/>
        <v>10.545</v>
      </c>
    </row>
    <row r="44" spans="1:7" ht="13.5" customHeight="1" x14ac:dyDescent="0.2">
      <c r="A44" s="295" t="s">
        <v>689</v>
      </c>
      <c r="B44" s="296">
        <v>8.7789999999999999</v>
      </c>
      <c r="C44" s="296">
        <v>26.367999999999999</v>
      </c>
      <c r="D44" s="298"/>
      <c r="E44" s="298"/>
      <c r="F44" s="296">
        <v>52.1</v>
      </c>
      <c r="G44" s="292">
        <f t="shared" si="1"/>
        <v>87.247</v>
      </c>
    </row>
    <row r="45" spans="1:7" ht="13.5" customHeight="1" x14ac:dyDescent="0.2">
      <c r="A45" s="295" t="s">
        <v>690</v>
      </c>
      <c r="B45" s="296">
        <v>0.34699999999999998</v>
      </c>
      <c r="C45" s="296">
        <v>2.7309999999999999</v>
      </c>
      <c r="D45" s="298"/>
      <c r="E45" s="298"/>
      <c r="F45" s="298"/>
      <c r="G45" s="292">
        <f t="shared" si="1"/>
        <v>3.0779999999999998</v>
      </c>
    </row>
    <row r="46" spans="1:7" ht="13.5" customHeight="1" x14ac:dyDescent="0.2">
      <c r="A46" s="295" t="s">
        <v>691</v>
      </c>
      <c r="B46" s="296">
        <v>13.991</v>
      </c>
      <c r="C46" s="296">
        <v>5.6390000000000002</v>
      </c>
      <c r="D46" s="298"/>
      <c r="E46" s="298"/>
      <c r="F46" s="298"/>
      <c r="G46" s="292">
        <f t="shared" si="1"/>
        <v>19.63</v>
      </c>
    </row>
    <row r="47" spans="1:7" x14ac:dyDescent="0.2">
      <c r="A47" s="293" t="s">
        <v>692</v>
      </c>
      <c r="B47" s="294"/>
      <c r="C47" s="294"/>
      <c r="D47" s="294"/>
      <c r="E47" s="294"/>
      <c r="F47" s="294"/>
      <c r="G47" s="294"/>
    </row>
    <row r="48" spans="1:7" ht="16.5" customHeight="1" x14ac:dyDescent="0.2">
      <c r="A48" s="295" t="s">
        <v>693</v>
      </c>
      <c r="B48" s="298"/>
      <c r="C48" s="296">
        <v>127.77500000000001</v>
      </c>
      <c r="D48" s="296">
        <v>26.198</v>
      </c>
      <c r="E48" s="298"/>
      <c r="F48" s="298"/>
      <c r="G48" s="292">
        <f t="shared" ref="G48:G55" si="2">+SUM(B48:F48)</f>
        <v>153.97300000000001</v>
      </c>
    </row>
    <row r="49" spans="1:7" x14ac:dyDescent="0.2">
      <c r="A49" s="295" t="s">
        <v>694</v>
      </c>
      <c r="B49" s="298"/>
      <c r="C49" s="296">
        <v>14.076000000000001</v>
      </c>
      <c r="D49" s="298"/>
      <c r="E49" s="298"/>
      <c r="F49" s="298"/>
      <c r="G49" s="292">
        <f t="shared" si="2"/>
        <v>14.076000000000001</v>
      </c>
    </row>
    <row r="50" spans="1:7" x14ac:dyDescent="0.2">
      <c r="A50" s="295" t="s">
        <v>695</v>
      </c>
      <c r="B50" s="298"/>
      <c r="C50" s="296"/>
      <c r="D50" s="298"/>
      <c r="E50" s="298"/>
      <c r="F50" s="298"/>
      <c r="G50" s="292">
        <f t="shared" si="2"/>
        <v>0</v>
      </c>
    </row>
    <row r="51" spans="1:7" x14ac:dyDescent="0.2">
      <c r="A51" s="295" t="s">
        <v>696</v>
      </c>
      <c r="B51" s="296">
        <v>22.013000000000002</v>
      </c>
      <c r="C51" s="298">
        <v>59.331000000000003</v>
      </c>
      <c r="D51" s="298"/>
      <c r="E51" s="298">
        <v>3.7999999999999999E-2</v>
      </c>
      <c r="F51" s="298"/>
      <c r="G51" s="292">
        <f t="shared" si="2"/>
        <v>81.382000000000005</v>
      </c>
    </row>
    <row r="52" spans="1:7" x14ac:dyDescent="0.2">
      <c r="A52" s="295" t="s">
        <v>697</v>
      </c>
      <c r="B52" s="298"/>
      <c r="C52" s="296"/>
      <c r="D52" s="296"/>
      <c r="E52" s="296"/>
      <c r="F52" s="298"/>
      <c r="G52" s="292">
        <f t="shared" si="2"/>
        <v>0</v>
      </c>
    </row>
    <row r="53" spans="1:7" x14ac:dyDescent="0.2">
      <c r="A53" s="295" t="s">
        <v>698</v>
      </c>
      <c r="B53" s="296">
        <v>35.947000000000003</v>
      </c>
      <c r="C53" s="298">
        <v>14.164</v>
      </c>
      <c r="D53" s="298">
        <v>8.3949999999999996</v>
      </c>
      <c r="E53" s="298">
        <v>2.1999999999999999E-2</v>
      </c>
      <c r="F53" s="296">
        <v>28.11</v>
      </c>
      <c r="G53" s="292">
        <f t="shared" si="2"/>
        <v>86.638000000000005</v>
      </c>
    </row>
    <row r="54" spans="1:7" x14ac:dyDescent="0.2">
      <c r="A54" s="295" t="s">
        <v>699</v>
      </c>
      <c r="B54" s="298"/>
      <c r="C54" s="298"/>
      <c r="D54" s="298"/>
      <c r="E54" s="298"/>
      <c r="F54" s="296">
        <v>2.2599999999999998</v>
      </c>
      <c r="G54" s="292">
        <f t="shared" si="2"/>
        <v>2.2599999999999998</v>
      </c>
    </row>
    <row r="55" spans="1:7" x14ac:dyDescent="0.2">
      <c r="A55" s="256" t="s">
        <v>116</v>
      </c>
      <c r="B55" s="299">
        <f>+SUM(B3:B54)</f>
        <v>2305.7540000000004</v>
      </c>
      <c r="C55" s="299">
        <f t="shared" ref="C55:F55" si="3">+SUM(C3:C54)</f>
        <v>1081.5869999999998</v>
      </c>
      <c r="D55" s="299">
        <f t="shared" si="3"/>
        <v>474.20499999999993</v>
      </c>
      <c r="E55" s="299">
        <f t="shared" si="3"/>
        <v>16.195</v>
      </c>
      <c r="F55" s="299">
        <f t="shared" si="3"/>
        <v>2379.7600000000002</v>
      </c>
      <c r="G55" s="299">
        <f t="shared" si="2"/>
        <v>6257.5010000000002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L1" sqref="L1:L1048576"/>
    </sheetView>
  </sheetViews>
  <sheetFormatPr baseColWidth="10" defaultRowHeight="11.25" x14ac:dyDescent="0.2"/>
  <cols>
    <col min="1" max="1" width="21.28515625" style="57" customWidth="1"/>
    <col min="2" max="16384" width="11.42578125" style="57"/>
  </cols>
  <sheetData>
    <row r="1" spans="1:8" x14ac:dyDescent="0.2">
      <c r="A1" s="438" t="s">
        <v>700</v>
      </c>
      <c r="B1" s="438"/>
      <c r="C1" s="438"/>
      <c r="D1" s="438"/>
      <c r="E1" s="438"/>
      <c r="F1" s="438"/>
      <c r="G1" s="438"/>
      <c r="H1" s="438"/>
    </row>
    <row r="2" spans="1:8" x14ac:dyDescent="0.2">
      <c r="A2" s="293" t="s">
        <v>701</v>
      </c>
      <c r="B2" s="256">
        <v>2013</v>
      </c>
      <c r="C2" s="256">
        <v>2014</v>
      </c>
      <c r="D2" s="256">
        <v>2015</v>
      </c>
      <c r="E2" s="256">
        <v>2016</v>
      </c>
      <c r="F2" s="256">
        <v>2017</v>
      </c>
      <c r="G2" s="256">
        <v>2018</v>
      </c>
      <c r="H2" s="256">
        <v>2019</v>
      </c>
    </row>
    <row r="3" spans="1:8" ht="12.75" customHeight="1" x14ac:dyDescent="0.2">
      <c r="A3" s="295" t="s">
        <v>702</v>
      </c>
      <c r="B3" s="296">
        <v>17959.600948373656</v>
      </c>
      <c r="C3" s="296">
        <v>18242.630397279565</v>
      </c>
      <c r="D3" s="296">
        <v>18869.396918413026</v>
      </c>
      <c r="E3" s="296">
        <v>20018.4463801436</v>
      </c>
      <c r="F3" s="296">
        <v>20831.265137278857</v>
      </c>
      <c r="G3" s="296">
        <v>22266.041246740861</v>
      </c>
      <c r="H3" s="296">
        <v>23157.711440912637</v>
      </c>
    </row>
    <row r="4" spans="1:8" x14ac:dyDescent="0.2">
      <c r="A4" s="295" t="s">
        <v>703</v>
      </c>
      <c r="B4" s="296">
        <v>0.12</v>
      </c>
      <c r="C4" s="296">
        <v>15.631999999999996</v>
      </c>
      <c r="D4" s="296">
        <v>4.2919999999999998</v>
      </c>
      <c r="E4" s="296">
        <v>1.5388600000000001</v>
      </c>
      <c r="F4" s="296">
        <v>0.28800000000000003</v>
      </c>
      <c r="G4" s="296">
        <v>0.26400000000000001</v>
      </c>
      <c r="H4" s="300">
        <v>4.35013698630137E-2</v>
      </c>
    </row>
    <row r="5" spans="1:8" x14ac:dyDescent="0.2">
      <c r="A5" s="295" t="s">
        <v>704</v>
      </c>
      <c r="B5" s="296">
        <v>3.9040000000000004</v>
      </c>
      <c r="C5" s="296">
        <v>38.293000000000006</v>
      </c>
      <c r="D5" s="296">
        <v>6.7930000000000001</v>
      </c>
      <c r="E5" s="296">
        <v>15.00614</v>
      </c>
      <c r="F5" s="296">
        <v>13.617000000000001</v>
      </c>
      <c r="G5" s="296">
        <v>15.548</v>
      </c>
      <c r="H5" s="296">
        <v>24.837000000000003</v>
      </c>
    </row>
    <row r="6" spans="1:8" x14ac:dyDescent="0.2">
      <c r="A6" s="295" t="s">
        <v>705</v>
      </c>
      <c r="B6" s="296">
        <v>586.47569047619049</v>
      </c>
      <c r="C6" s="296">
        <v>685.45099999999991</v>
      </c>
      <c r="D6" s="296">
        <v>788.80160000000001</v>
      </c>
      <c r="E6" s="296">
        <v>958.79824190476188</v>
      </c>
      <c r="F6" s="296">
        <v>1082.0818571428572</v>
      </c>
      <c r="G6" s="296">
        <v>1249.614</v>
      </c>
      <c r="H6" s="296">
        <v>1426.37528</v>
      </c>
    </row>
    <row r="7" spans="1:8" x14ac:dyDescent="0.2">
      <c r="A7" s="295" t="s">
        <v>706</v>
      </c>
      <c r="B7" s="296">
        <v>1344.4134761904761</v>
      </c>
      <c r="C7" s="296">
        <v>1255.2926666666663</v>
      </c>
      <c r="D7" s="296">
        <v>1263.5804285714287</v>
      </c>
      <c r="E7" s="296">
        <v>1316.6556666666665</v>
      </c>
      <c r="F7" s="296">
        <v>1355.4582380952381</v>
      </c>
      <c r="G7" s="296">
        <v>1351.9897142857144</v>
      </c>
      <c r="H7" s="296">
        <v>1357.432</v>
      </c>
    </row>
    <row r="8" spans="1:8" x14ac:dyDescent="0.2">
      <c r="A8" s="295" t="s">
        <v>707</v>
      </c>
      <c r="B8" s="296">
        <v>301.60000000000002</v>
      </c>
      <c r="C8" s="296">
        <v>291.20000000000005</v>
      </c>
      <c r="D8" s="296">
        <v>335.2</v>
      </c>
      <c r="E8" s="296">
        <v>360.2000000000001</v>
      </c>
      <c r="F8" s="296">
        <v>347.20000000000005</v>
      </c>
      <c r="G8" s="296">
        <v>333.01</v>
      </c>
      <c r="H8" s="296">
        <v>306.18</v>
      </c>
    </row>
    <row r="9" spans="1:8" x14ac:dyDescent="0.2">
      <c r="A9" s="295" t="s">
        <v>708</v>
      </c>
      <c r="B9" s="296">
        <v>497.95571428571424</v>
      </c>
      <c r="C9" s="296">
        <v>536.17200000000003</v>
      </c>
      <c r="D9" s="296">
        <v>668.14291000000003</v>
      </c>
      <c r="E9" s="296">
        <v>741.62773000000004</v>
      </c>
      <c r="F9" s="296">
        <v>765.57920000000001</v>
      </c>
      <c r="G9" s="296">
        <v>805.10772628571431</v>
      </c>
      <c r="H9" s="296">
        <v>788.53705000000002</v>
      </c>
    </row>
    <row r="10" spans="1:8" x14ac:dyDescent="0.2">
      <c r="A10" s="295" t="s">
        <v>709</v>
      </c>
      <c r="B10" s="296">
        <v>1408.7783095238096</v>
      </c>
      <c r="C10" s="296">
        <v>1716.0679999999998</v>
      </c>
      <c r="D10" s="296">
        <v>2224.02376</v>
      </c>
      <c r="E10" s="296">
        <v>2828.7838200000006</v>
      </c>
      <c r="F10" s="296">
        <v>3216.3726699999997</v>
      </c>
      <c r="G10" s="296">
        <v>3515.0192114285715</v>
      </c>
      <c r="H10" s="296">
        <v>3900.98981</v>
      </c>
    </row>
    <row r="11" spans="1:8" x14ac:dyDescent="0.2">
      <c r="A11" s="295" t="s">
        <v>710</v>
      </c>
      <c r="B11" s="296">
        <v>5519.1597619047607</v>
      </c>
      <c r="C11" s="296">
        <v>5948.1109999999999</v>
      </c>
      <c r="D11" s="296">
        <v>7074.3304099999996</v>
      </c>
      <c r="E11" s="296">
        <v>8238.3738500000018</v>
      </c>
      <c r="F11" s="296">
        <v>8732.0878799999991</v>
      </c>
      <c r="G11" s="296">
        <v>9344.4750966666688</v>
      </c>
      <c r="H11" s="296">
        <v>9638.6552599999995</v>
      </c>
    </row>
    <row r="12" spans="1:8" x14ac:dyDescent="0.2">
      <c r="A12" s="295" t="s">
        <v>711</v>
      </c>
      <c r="B12" s="296">
        <v>3304.7047857142852</v>
      </c>
      <c r="C12" s="296">
        <v>3019.5569999999998</v>
      </c>
      <c r="D12" s="296">
        <v>2605.0019999999995</v>
      </c>
      <c r="E12" s="296">
        <v>2313.8300000000004</v>
      </c>
      <c r="F12" s="296">
        <v>1925.75</v>
      </c>
      <c r="G12" s="296">
        <v>1649.7679523809522</v>
      </c>
      <c r="H12" s="296">
        <v>1334.423</v>
      </c>
    </row>
    <row r="13" spans="1:8" x14ac:dyDescent="0.2">
      <c r="A13" s="295" t="s">
        <v>712</v>
      </c>
      <c r="B13" s="296">
        <v>6065.2282333333333</v>
      </c>
      <c r="C13" s="296">
        <v>6686.73</v>
      </c>
      <c r="D13" s="296">
        <v>7042.3222604761904</v>
      </c>
      <c r="E13" s="296">
        <v>7808.0920933333337</v>
      </c>
      <c r="F13" s="296">
        <v>7945.6238423809527</v>
      </c>
      <c r="G13" s="296">
        <v>8242.6567471428571</v>
      </c>
      <c r="H13" s="296">
        <v>8400.6262348</v>
      </c>
    </row>
    <row r="14" spans="1:8" x14ac:dyDescent="0.2">
      <c r="A14" s="295" t="s">
        <v>713</v>
      </c>
      <c r="B14" s="296">
        <v>18289.9407333333</v>
      </c>
      <c r="C14" s="296">
        <v>17773.96</v>
      </c>
      <c r="D14" s="296">
        <v>18774.010190476187</v>
      </c>
      <c r="E14" s="296">
        <v>13634.776880952382</v>
      </c>
      <c r="F14" s="296">
        <v>5798.1060476190469</v>
      </c>
      <c r="G14" s="296">
        <v>3783.0611428571433</v>
      </c>
      <c r="H14" s="296">
        <v>3877.482</v>
      </c>
    </row>
    <row r="15" spans="1:8" x14ac:dyDescent="0.2">
      <c r="A15" s="295" t="s">
        <v>714</v>
      </c>
      <c r="B15" s="296">
        <v>19092.835189523812</v>
      </c>
      <c r="C15" s="296">
        <v>18760.739460000004</v>
      </c>
      <c r="D15" s="296">
        <v>20874.328809999999</v>
      </c>
      <c r="E15" s="296">
        <v>28075.840700000001</v>
      </c>
      <c r="F15" s="296">
        <v>35855.475489999997</v>
      </c>
      <c r="G15" s="296">
        <v>37693.524192857141</v>
      </c>
      <c r="H15" s="296">
        <v>38981.429505699998</v>
      </c>
    </row>
    <row r="16" spans="1:8" x14ac:dyDescent="0.2">
      <c r="A16" s="295" t="s">
        <v>715</v>
      </c>
      <c r="B16" s="296">
        <v>1156.01</v>
      </c>
      <c r="C16" s="296">
        <v>877.52</v>
      </c>
      <c r="D16" s="296">
        <v>792.02799999999991</v>
      </c>
      <c r="E16" s="296">
        <v>757.4</v>
      </c>
      <c r="F16" s="296">
        <v>843.41200000000003</v>
      </c>
      <c r="G16" s="296">
        <v>1182.5139999999999</v>
      </c>
      <c r="H16" s="296">
        <v>984.52400000000011</v>
      </c>
    </row>
    <row r="17" spans="1:8" x14ac:dyDescent="0.2">
      <c r="A17" s="295" t="s">
        <v>716</v>
      </c>
      <c r="B17" s="296">
        <v>1444.3681980952381</v>
      </c>
      <c r="C17" s="296">
        <v>721.69900000000018</v>
      </c>
      <c r="D17" s="296">
        <v>757.55700000000002</v>
      </c>
      <c r="E17" s="296">
        <v>698.5</v>
      </c>
      <c r="F17" s="296">
        <v>668.11900000000003</v>
      </c>
      <c r="G17" s="296">
        <v>771.23500000000001</v>
      </c>
      <c r="H17" s="296">
        <v>609.35500000000002</v>
      </c>
    </row>
    <row r="18" spans="1:8" ht="13.5" customHeight="1" x14ac:dyDescent="0.2">
      <c r="A18" s="295" t="s">
        <v>717</v>
      </c>
      <c r="B18" s="296">
        <v>1554.97</v>
      </c>
      <c r="C18" s="296">
        <v>924.17</v>
      </c>
      <c r="D18" s="296">
        <v>1069.7170000000001</v>
      </c>
      <c r="E18" s="296">
        <v>1363.47252</v>
      </c>
      <c r="F18" s="296">
        <v>1241.6948100000002</v>
      </c>
      <c r="G18" s="296">
        <v>1114.4632900000001</v>
      </c>
      <c r="H18" s="296">
        <v>1329.7549999999999</v>
      </c>
    </row>
    <row r="19" spans="1:8" x14ac:dyDescent="0.2">
      <c r="A19" s="295" t="s">
        <v>608</v>
      </c>
      <c r="B19" s="296">
        <v>222.50342999999998</v>
      </c>
      <c r="C19" s="296">
        <v>221.58600000000001</v>
      </c>
      <c r="D19" s="296">
        <v>163.14099999999999</v>
      </c>
      <c r="E19" s="296">
        <v>151.63999999999999</v>
      </c>
      <c r="F19" s="296">
        <v>173.65800000000002</v>
      </c>
      <c r="G19" s="296">
        <v>171.63300000000001</v>
      </c>
      <c r="H19" s="296">
        <v>160.41000000000003</v>
      </c>
    </row>
    <row r="20" spans="1:8" x14ac:dyDescent="0.2">
      <c r="A20" s="295" t="s">
        <v>609</v>
      </c>
      <c r="B20" s="296">
        <v>1133.0111200000001</v>
      </c>
      <c r="C20" s="296">
        <v>1447.5119999999999</v>
      </c>
      <c r="D20" s="296">
        <v>1246.8420000000001</v>
      </c>
      <c r="E20" s="296">
        <v>1171.249</v>
      </c>
      <c r="F20" s="296">
        <v>1473.9109999999998</v>
      </c>
      <c r="G20" s="296">
        <v>1478.298</v>
      </c>
      <c r="H20" s="296">
        <v>1342.6339999999998</v>
      </c>
    </row>
    <row r="21" spans="1:8" x14ac:dyDescent="0.2">
      <c r="A21" s="295" t="s">
        <v>595</v>
      </c>
      <c r="B21" s="296">
        <v>924.03945952380968</v>
      </c>
      <c r="C21" s="296">
        <v>698.05899999999997</v>
      </c>
      <c r="D21" s="296">
        <v>697.14192904761899</v>
      </c>
      <c r="E21" s="296">
        <v>460.59288761904793</v>
      </c>
      <c r="F21" s="296">
        <v>492.58883714285707</v>
      </c>
      <c r="G21" s="296">
        <v>456.56966714285699</v>
      </c>
      <c r="H21" s="296">
        <v>578.16198566190474</v>
      </c>
    </row>
    <row r="22" spans="1:8" x14ac:dyDescent="0.2">
      <c r="A22" s="256" t="s">
        <v>116</v>
      </c>
      <c r="B22" s="289">
        <f t="shared" ref="B22:H22" si="0">+SUM(B3:B21)</f>
        <v>80809.619050278357</v>
      </c>
      <c r="C22" s="289">
        <f t="shared" si="0"/>
        <v>79860.382523946231</v>
      </c>
      <c r="D22" s="289">
        <f t="shared" si="0"/>
        <v>85256.651216984479</v>
      </c>
      <c r="E22" s="289">
        <f t="shared" si="0"/>
        <v>90914.824770619787</v>
      </c>
      <c r="F22" s="289">
        <f t="shared" si="0"/>
        <v>92762.289009659798</v>
      </c>
      <c r="G22" s="289">
        <f t="shared" si="0"/>
        <v>95424.791987788471</v>
      </c>
      <c r="H22" s="289">
        <f t="shared" si="0"/>
        <v>98199.562068444415</v>
      </c>
    </row>
    <row r="23" spans="1:8" x14ac:dyDescent="0.2">
      <c r="A23" s="301" t="s">
        <v>718</v>
      </c>
      <c r="B23" s="302">
        <v>221.39621657610508</v>
      </c>
      <c r="C23" s="302">
        <v>218.7955685587568</v>
      </c>
      <c r="D23" s="302">
        <v>233.57986634790268</v>
      </c>
      <c r="E23" s="302">
        <v>248.4011605754639</v>
      </c>
      <c r="F23" s="302">
        <v>254.14325756071179</v>
      </c>
      <c r="G23" s="302">
        <v>261.43778626791362</v>
      </c>
      <c r="H23" s="302">
        <f>+H22/365</f>
        <v>269.03989607792988</v>
      </c>
    </row>
  </sheetData>
  <mergeCells count="1"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9" ht="22.5" x14ac:dyDescent="0.2">
      <c r="A1" s="438">
        <v>2019</v>
      </c>
      <c r="B1" s="438" t="s">
        <v>719</v>
      </c>
      <c r="C1" s="438"/>
      <c r="D1" s="438"/>
      <c r="E1" s="438"/>
      <c r="F1" s="438" t="s">
        <v>720</v>
      </c>
      <c r="G1" s="254" t="s">
        <v>584</v>
      </c>
      <c r="H1" s="254" t="s">
        <v>721</v>
      </c>
      <c r="I1" s="254" t="s">
        <v>722</v>
      </c>
    </row>
    <row r="2" spans="1:9" ht="22.5" x14ac:dyDescent="0.2">
      <c r="A2" s="438"/>
      <c r="B2" s="256" t="s">
        <v>723</v>
      </c>
      <c r="C2" s="256" t="s">
        <v>724</v>
      </c>
      <c r="D2" s="256" t="s">
        <v>725</v>
      </c>
      <c r="E2" s="256" t="s">
        <v>726</v>
      </c>
      <c r="F2" s="438"/>
      <c r="G2" s="256" t="s">
        <v>727</v>
      </c>
      <c r="H2" s="256" t="s">
        <v>728</v>
      </c>
      <c r="I2" s="256" t="s">
        <v>729</v>
      </c>
    </row>
    <row r="3" spans="1:9" x14ac:dyDescent="0.2">
      <c r="A3" s="295" t="s">
        <v>239</v>
      </c>
      <c r="B3" s="296">
        <v>11.43</v>
      </c>
      <c r="C3" s="296">
        <v>11.94</v>
      </c>
      <c r="D3" s="296">
        <v>14</v>
      </c>
      <c r="E3" s="296">
        <v>14.56</v>
      </c>
      <c r="F3" s="296">
        <v>13.04</v>
      </c>
      <c r="G3" s="296">
        <v>39.409999999999997</v>
      </c>
      <c r="H3" s="296">
        <v>1.58</v>
      </c>
      <c r="I3" s="296">
        <v>1.51</v>
      </c>
    </row>
    <row r="4" spans="1:9" x14ac:dyDescent="0.2">
      <c r="A4" s="303" t="s">
        <v>240</v>
      </c>
      <c r="B4" s="304">
        <v>11.17</v>
      </c>
      <c r="C4" s="304">
        <v>11.62</v>
      </c>
      <c r="D4" s="304">
        <v>13.69</v>
      </c>
      <c r="E4" s="304">
        <v>14.27</v>
      </c>
      <c r="F4" s="304">
        <v>12.93</v>
      </c>
      <c r="G4" s="304">
        <v>39.380000000000003</v>
      </c>
      <c r="H4" s="304">
        <v>1.53</v>
      </c>
      <c r="I4" s="304">
        <v>1.5</v>
      </c>
    </row>
    <row r="5" spans="1:9" x14ac:dyDescent="0.2">
      <c r="A5" s="295" t="s">
        <v>241</v>
      </c>
      <c r="B5" s="296">
        <v>11.23</v>
      </c>
      <c r="C5" s="296">
        <v>11.78</v>
      </c>
      <c r="D5" s="296">
        <v>13.87</v>
      </c>
      <c r="E5" s="296">
        <v>14.5</v>
      </c>
      <c r="F5" s="296">
        <v>12.53</v>
      </c>
      <c r="G5" s="296">
        <v>39.340000000000003</v>
      </c>
      <c r="H5" s="296">
        <v>1.49</v>
      </c>
      <c r="I5" s="296">
        <v>1.49</v>
      </c>
    </row>
    <row r="6" spans="1:9" x14ac:dyDescent="0.2">
      <c r="A6" s="303" t="s">
        <v>242</v>
      </c>
      <c r="B6" s="304">
        <v>11.72</v>
      </c>
      <c r="C6" s="304">
        <v>12.37</v>
      </c>
      <c r="D6" s="304">
        <v>14.51</v>
      </c>
      <c r="E6" s="304">
        <v>15.18</v>
      </c>
      <c r="F6" s="304">
        <v>12.46</v>
      </c>
      <c r="G6" s="304">
        <v>39.21</v>
      </c>
      <c r="H6" s="304">
        <v>1.47</v>
      </c>
      <c r="I6" s="304">
        <v>1.5</v>
      </c>
    </row>
    <row r="7" spans="1:9" x14ac:dyDescent="0.2">
      <c r="A7" s="295" t="s">
        <v>243</v>
      </c>
      <c r="B7" s="296">
        <v>11.95</v>
      </c>
      <c r="C7" s="296">
        <v>12.67</v>
      </c>
      <c r="D7" s="296">
        <v>14.76</v>
      </c>
      <c r="E7" s="296">
        <v>15.44</v>
      </c>
      <c r="F7" s="296">
        <v>12.58</v>
      </c>
      <c r="G7" s="296">
        <v>39.17</v>
      </c>
      <c r="H7" s="296">
        <v>1.46</v>
      </c>
      <c r="I7" s="296">
        <v>1.5</v>
      </c>
    </row>
    <row r="8" spans="1:9" x14ac:dyDescent="0.2">
      <c r="A8" s="303" t="s">
        <v>244</v>
      </c>
      <c r="B8" s="304">
        <v>11.94</v>
      </c>
      <c r="C8" s="304">
        <v>12.62</v>
      </c>
      <c r="D8" s="304">
        <v>14.68</v>
      </c>
      <c r="E8" s="304">
        <v>15.37</v>
      </c>
      <c r="F8" s="304">
        <v>12.66</v>
      </c>
      <c r="G8" s="304">
        <v>39.25</v>
      </c>
      <c r="H8" s="304">
        <v>1.46</v>
      </c>
      <c r="I8" s="304">
        <v>1.5</v>
      </c>
    </row>
    <row r="9" spans="1:9" x14ac:dyDescent="0.2">
      <c r="A9" s="295" t="s">
        <v>245</v>
      </c>
      <c r="B9" s="296">
        <v>12.1</v>
      </c>
      <c r="C9" s="296">
        <v>12.82</v>
      </c>
      <c r="D9" s="296">
        <v>14.91</v>
      </c>
      <c r="E9" s="296">
        <v>15.58</v>
      </c>
      <c r="F9" s="296">
        <v>12.58</v>
      </c>
      <c r="G9" s="296">
        <v>39.22</v>
      </c>
      <c r="H9" s="296">
        <v>1.41</v>
      </c>
      <c r="I9" s="296">
        <v>1.5</v>
      </c>
    </row>
    <row r="10" spans="1:9" x14ac:dyDescent="0.2">
      <c r="A10" s="303" t="s">
        <v>246</v>
      </c>
      <c r="B10" s="304">
        <v>12.15</v>
      </c>
      <c r="C10" s="304">
        <v>12.86</v>
      </c>
      <c r="D10" s="304">
        <v>15.06</v>
      </c>
      <c r="E10" s="304">
        <v>15.75</v>
      </c>
      <c r="F10" s="304">
        <v>12.54</v>
      </c>
      <c r="G10" s="304">
        <v>39.18</v>
      </c>
      <c r="H10" s="304">
        <v>1.39</v>
      </c>
      <c r="I10" s="304">
        <v>1.49</v>
      </c>
    </row>
    <row r="11" spans="1:9" x14ac:dyDescent="0.2">
      <c r="A11" s="295" t="s">
        <v>730</v>
      </c>
      <c r="B11" s="296">
        <v>12.07</v>
      </c>
      <c r="C11" s="296">
        <v>12.68</v>
      </c>
      <c r="D11" s="296">
        <v>14.84</v>
      </c>
      <c r="E11" s="296">
        <v>15.54</v>
      </c>
      <c r="F11" s="296">
        <v>12.53</v>
      </c>
      <c r="G11" s="296">
        <v>39.08</v>
      </c>
      <c r="H11" s="296">
        <v>1.36</v>
      </c>
      <c r="I11" s="296">
        <v>1.49</v>
      </c>
    </row>
    <row r="12" spans="1:9" x14ac:dyDescent="0.2">
      <c r="A12" s="303" t="s">
        <v>248</v>
      </c>
      <c r="B12" s="304">
        <v>12.15</v>
      </c>
      <c r="C12" s="304">
        <v>12.68</v>
      </c>
      <c r="D12" s="304">
        <v>14.86</v>
      </c>
      <c r="E12" s="304">
        <v>15.63</v>
      </c>
      <c r="F12" s="304">
        <v>12.5</v>
      </c>
      <c r="G12" s="304">
        <v>38.99</v>
      </c>
      <c r="H12" s="304">
        <v>1.33</v>
      </c>
      <c r="I12" s="304">
        <v>1.49</v>
      </c>
    </row>
    <row r="13" spans="1:9" x14ac:dyDescent="0.2">
      <c r="A13" s="295" t="s">
        <v>249</v>
      </c>
      <c r="B13" s="296">
        <v>12.12</v>
      </c>
      <c r="C13" s="296">
        <v>12.62</v>
      </c>
      <c r="D13" s="296">
        <v>14.78</v>
      </c>
      <c r="E13" s="296">
        <v>15.6</v>
      </c>
      <c r="F13" s="296">
        <v>12.48</v>
      </c>
      <c r="G13" s="296">
        <v>38.85</v>
      </c>
      <c r="H13" s="296">
        <v>1.34</v>
      </c>
      <c r="I13" s="296">
        <v>1.49</v>
      </c>
    </row>
    <row r="14" spans="1:9" x14ac:dyDescent="0.2">
      <c r="A14" s="303" t="s">
        <v>250</v>
      </c>
      <c r="B14" s="304">
        <v>11.98</v>
      </c>
      <c r="C14" s="304">
        <v>12.44</v>
      </c>
      <c r="D14" s="304">
        <v>14.53</v>
      </c>
      <c r="E14" s="304">
        <v>15.32</v>
      </c>
      <c r="F14" s="304">
        <v>12.56</v>
      </c>
      <c r="G14" s="304">
        <v>38.770000000000003</v>
      </c>
      <c r="H14" s="304">
        <v>1.37</v>
      </c>
      <c r="I14" s="304">
        <v>1.49</v>
      </c>
    </row>
    <row r="18" spans="1:1" x14ac:dyDescent="0.2">
      <c r="A18" s="305" t="s">
        <v>731</v>
      </c>
    </row>
  </sheetData>
  <mergeCells count="3">
    <mergeCell ref="A1:A2"/>
    <mergeCell ref="B1:E1"/>
    <mergeCell ref="F1:F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workbookViewId="0">
      <selection activeCell="L1" sqref="L1:L1048576"/>
    </sheetView>
  </sheetViews>
  <sheetFormatPr baseColWidth="10" defaultRowHeight="11.25" x14ac:dyDescent="0.2"/>
  <cols>
    <col min="1" max="4" width="11.42578125" style="57"/>
    <col min="5" max="5" width="12.85546875" style="57" customWidth="1"/>
    <col min="6" max="16384" width="11.42578125" style="57"/>
  </cols>
  <sheetData>
    <row r="1" spans="1:5" x14ac:dyDescent="0.2">
      <c r="A1" s="438">
        <v>2019</v>
      </c>
      <c r="B1" s="438" t="s">
        <v>719</v>
      </c>
      <c r="C1" s="438"/>
      <c r="D1" s="438" t="s">
        <v>550</v>
      </c>
      <c r="E1" s="254" t="s">
        <v>584</v>
      </c>
    </row>
    <row r="2" spans="1:5" ht="22.5" x14ac:dyDescent="0.2">
      <c r="A2" s="438"/>
      <c r="B2" s="256" t="s">
        <v>732</v>
      </c>
      <c r="C2" s="256" t="s">
        <v>733</v>
      </c>
      <c r="D2" s="438"/>
      <c r="E2" s="256" t="s">
        <v>734</v>
      </c>
    </row>
    <row r="3" spans="1:5" x14ac:dyDescent="0.2">
      <c r="A3" s="306" t="s">
        <v>239</v>
      </c>
      <c r="B3" s="296">
        <v>11.88</v>
      </c>
      <c r="C3" s="57">
        <v>11.7</v>
      </c>
      <c r="D3" s="296">
        <v>13.57</v>
      </c>
      <c r="E3" s="296">
        <v>39.97</v>
      </c>
    </row>
    <row r="4" spans="1:5" x14ac:dyDescent="0.2">
      <c r="A4" s="307" t="s">
        <v>240</v>
      </c>
      <c r="B4" s="304">
        <v>11.52</v>
      </c>
      <c r="C4" s="57">
        <v>11.41</v>
      </c>
      <c r="D4" s="304">
        <v>13.41</v>
      </c>
      <c r="E4" s="304">
        <v>39.71</v>
      </c>
    </row>
    <row r="5" spans="1:5" x14ac:dyDescent="0.2">
      <c r="A5" s="306" t="s">
        <v>241</v>
      </c>
      <c r="B5" s="296">
        <v>11.5</v>
      </c>
      <c r="C5" s="57">
        <v>12.39</v>
      </c>
      <c r="D5" s="296">
        <v>12.88</v>
      </c>
      <c r="E5" s="296">
        <v>39.28</v>
      </c>
    </row>
    <row r="6" spans="1:5" x14ac:dyDescent="0.2">
      <c r="A6" s="307" t="s">
        <v>242</v>
      </c>
      <c r="B6" s="304">
        <v>12.12</v>
      </c>
      <c r="C6" s="57">
        <v>13.1</v>
      </c>
      <c r="D6" s="304">
        <v>12.77</v>
      </c>
      <c r="E6" s="304">
        <v>39.5</v>
      </c>
    </row>
    <row r="7" spans="1:5" x14ac:dyDescent="0.2">
      <c r="A7" s="306" t="s">
        <v>243</v>
      </c>
      <c r="B7" s="296">
        <v>12.62</v>
      </c>
      <c r="C7" s="57">
        <v>13.66</v>
      </c>
      <c r="D7" s="296">
        <v>12.91</v>
      </c>
      <c r="E7" s="296">
        <v>39.369999999999997</v>
      </c>
    </row>
    <row r="8" spans="1:5" x14ac:dyDescent="0.2">
      <c r="A8" s="307" t="s">
        <v>244</v>
      </c>
      <c r="B8" s="304">
        <v>12.61</v>
      </c>
      <c r="C8" s="57">
        <v>13.56</v>
      </c>
      <c r="D8" s="304">
        <v>12.98</v>
      </c>
      <c r="E8" s="304">
        <v>39.369999999999997</v>
      </c>
    </row>
    <row r="9" spans="1:5" x14ac:dyDescent="0.2">
      <c r="A9" s="306" t="s">
        <v>245</v>
      </c>
      <c r="B9" s="296">
        <v>12.68</v>
      </c>
      <c r="C9" s="57">
        <v>13.48</v>
      </c>
      <c r="D9" s="296">
        <v>12.93</v>
      </c>
      <c r="E9" s="296">
        <v>39.369999999999997</v>
      </c>
    </row>
    <row r="10" spans="1:5" x14ac:dyDescent="0.2">
      <c r="A10" s="307" t="s">
        <v>246</v>
      </c>
      <c r="B10" s="304">
        <v>13.06</v>
      </c>
      <c r="C10" s="57">
        <v>14</v>
      </c>
      <c r="D10" s="304">
        <v>13.08</v>
      </c>
      <c r="E10" s="304">
        <v>39.369999999999997</v>
      </c>
    </row>
    <row r="11" spans="1:5" x14ac:dyDescent="0.2">
      <c r="A11" s="306" t="s">
        <v>730</v>
      </c>
      <c r="B11" s="296">
        <v>12.92</v>
      </c>
      <c r="C11" s="57">
        <v>13.62</v>
      </c>
      <c r="D11" s="296">
        <v>12.99</v>
      </c>
      <c r="E11" s="296">
        <v>39.369999999999997</v>
      </c>
    </row>
    <row r="12" spans="1:5" x14ac:dyDescent="0.2">
      <c r="A12" s="307" t="s">
        <v>248</v>
      </c>
      <c r="B12" s="304">
        <v>12.86</v>
      </c>
      <c r="C12" s="57">
        <v>13.65</v>
      </c>
      <c r="D12" s="304">
        <v>12.86</v>
      </c>
      <c r="E12" s="304">
        <v>39.369999999999997</v>
      </c>
    </row>
    <row r="13" spans="1:5" x14ac:dyDescent="0.2">
      <c r="A13" s="306" t="s">
        <v>249</v>
      </c>
      <c r="B13" s="296">
        <v>12.82</v>
      </c>
      <c r="C13" s="57">
        <v>13.56</v>
      </c>
      <c r="D13" s="296">
        <v>12.85</v>
      </c>
      <c r="E13" s="296">
        <v>39.24</v>
      </c>
    </row>
    <row r="14" spans="1:5" x14ac:dyDescent="0.2">
      <c r="A14" s="307" t="s">
        <v>250</v>
      </c>
      <c r="B14" s="304">
        <v>12.55</v>
      </c>
      <c r="C14" s="57">
        <v>13.24</v>
      </c>
      <c r="D14" s="304">
        <v>12.85</v>
      </c>
      <c r="E14" s="304">
        <v>38.869999999999997</v>
      </c>
    </row>
    <row r="17" spans="1:1" x14ac:dyDescent="0.2">
      <c r="A17" s="305" t="s">
        <v>735</v>
      </c>
    </row>
  </sheetData>
  <mergeCells count="3">
    <mergeCell ref="A1:A2"/>
    <mergeCell ref="B1:C1"/>
    <mergeCell ref="D1:D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5" x14ac:dyDescent="0.2">
      <c r="A1" s="438">
        <v>2019</v>
      </c>
      <c r="B1" s="438" t="s">
        <v>719</v>
      </c>
      <c r="C1" s="438"/>
      <c r="D1" s="438"/>
      <c r="E1" s="254" t="s">
        <v>584</v>
      </c>
    </row>
    <row r="2" spans="1:5" ht="22.5" x14ac:dyDescent="0.2">
      <c r="A2" s="438"/>
      <c r="B2" s="256" t="s">
        <v>732</v>
      </c>
      <c r="C2" s="256" t="s">
        <v>733</v>
      </c>
      <c r="D2" s="256" t="s">
        <v>725</v>
      </c>
      <c r="E2" s="256" t="s">
        <v>734</v>
      </c>
    </row>
    <row r="3" spans="1:5" x14ac:dyDescent="0.2">
      <c r="A3" s="295" t="s">
        <v>239</v>
      </c>
      <c r="B3" s="296">
        <v>12.04</v>
      </c>
      <c r="C3" s="296">
        <v>12.78</v>
      </c>
      <c r="D3" s="296">
        <v>15.39</v>
      </c>
      <c r="E3" s="296">
        <v>36.47</v>
      </c>
    </row>
    <row r="4" spans="1:5" x14ac:dyDescent="0.2">
      <c r="A4" s="303" t="s">
        <v>240</v>
      </c>
      <c r="B4" s="304">
        <v>11.86</v>
      </c>
      <c r="C4" s="304">
        <v>12.6</v>
      </c>
      <c r="D4" s="304">
        <v>15.19</v>
      </c>
      <c r="E4" s="304">
        <v>36.46</v>
      </c>
    </row>
    <row r="5" spans="1:5" x14ac:dyDescent="0.2">
      <c r="A5" s="295" t="s">
        <v>241</v>
      </c>
      <c r="B5" s="296">
        <v>11.6</v>
      </c>
      <c r="C5" s="296">
        <v>12.33</v>
      </c>
      <c r="D5" s="296">
        <v>14.9</v>
      </c>
      <c r="E5" s="296">
        <v>36.53</v>
      </c>
    </row>
    <row r="6" spans="1:5" x14ac:dyDescent="0.2">
      <c r="A6" s="303" t="s">
        <v>242</v>
      </c>
      <c r="B6" s="304">
        <v>11.84</v>
      </c>
      <c r="C6" s="304">
        <v>12.64</v>
      </c>
      <c r="D6" s="304">
        <v>15.21</v>
      </c>
      <c r="E6" s="304">
        <v>36.54</v>
      </c>
    </row>
    <row r="7" spans="1:5" x14ac:dyDescent="0.2">
      <c r="A7" s="295" t="s">
        <v>243</v>
      </c>
      <c r="B7" s="296">
        <v>12.29</v>
      </c>
      <c r="C7" s="296">
        <v>13.03</v>
      </c>
      <c r="D7" s="296">
        <v>15.7</v>
      </c>
      <c r="E7" s="296">
        <v>36.54</v>
      </c>
    </row>
    <row r="8" spans="1:5" x14ac:dyDescent="0.2">
      <c r="A8" s="303" t="s">
        <v>244</v>
      </c>
      <c r="B8" s="304">
        <v>12.22</v>
      </c>
      <c r="C8" s="304">
        <v>13.19</v>
      </c>
      <c r="D8" s="304">
        <v>15.68</v>
      </c>
      <c r="E8" s="304">
        <v>36.299999999999997</v>
      </c>
    </row>
    <row r="9" spans="1:5" x14ac:dyDescent="0.2">
      <c r="A9" s="295" t="s">
        <v>245</v>
      </c>
      <c r="B9" s="296">
        <v>12.22</v>
      </c>
      <c r="C9" s="296">
        <v>13.17</v>
      </c>
      <c r="D9" s="296">
        <v>15.61</v>
      </c>
      <c r="E9" s="296">
        <v>36.409999999999997</v>
      </c>
    </row>
    <row r="10" spans="1:5" x14ac:dyDescent="0.2">
      <c r="A10" s="303" t="s">
        <v>246</v>
      </c>
      <c r="B10" s="304">
        <v>12.52</v>
      </c>
      <c r="C10" s="304">
        <v>13.4</v>
      </c>
      <c r="D10" s="304">
        <v>15.98</v>
      </c>
      <c r="E10" s="304">
        <v>36.42</v>
      </c>
    </row>
    <row r="11" spans="1:5" x14ac:dyDescent="0.2">
      <c r="A11" s="295" t="s">
        <v>730</v>
      </c>
      <c r="B11" s="296">
        <v>12.45</v>
      </c>
      <c r="C11" s="296">
        <v>13.35</v>
      </c>
      <c r="D11" s="296">
        <v>16.02</v>
      </c>
      <c r="E11" s="296">
        <v>36.450000000000003</v>
      </c>
    </row>
    <row r="12" spans="1:5" x14ac:dyDescent="0.2">
      <c r="A12" s="303" t="s">
        <v>248</v>
      </c>
      <c r="B12" s="304">
        <v>12.51</v>
      </c>
      <c r="C12" s="304">
        <v>13.39</v>
      </c>
      <c r="D12" s="304">
        <v>16.07</v>
      </c>
      <c r="E12" s="304">
        <v>36.21</v>
      </c>
    </row>
    <row r="13" spans="1:5" x14ac:dyDescent="0.2">
      <c r="A13" s="295" t="s">
        <v>249</v>
      </c>
      <c r="B13" s="296">
        <v>12.57</v>
      </c>
      <c r="C13" s="296">
        <v>13.42</v>
      </c>
      <c r="D13" s="296">
        <v>16.07</v>
      </c>
      <c r="E13" s="296">
        <v>36.24</v>
      </c>
    </row>
    <row r="14" spans="1:5" x14ac:dyDescent="0.2">
      <c r="A14" s="303" t="s">
        <v>250</v>
      </c>
      <c r="B14" s="304">
        <v>12.54</v>
      </c>
      <c r="C14" s="304">
        <v>13.32</v>
      </c>
      <c r="D14" s="304">
        <v>16</v>
      </c>
      <c r="E14" s="304">
        <v>36.1</v>
      </c>
    </row>
    <row r="17" spans="1:1" x14ac:dyDescent="0.2">
      <c r="A17" s="305" t="s">
        <v>736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9"/>
  <sheetViews>
    <sheetView zoomScale="80" zoomScaleNormal="80" workbookViewId="0">
      <selection activeCell="J31" sqref="J31"/>
    </sheetView>
  </sheetViews>
  <sheetFormatPr baseColWidth="10" defaultColWidth="9.85546875" defaultRowHeight="11.25" x14ac:dyDescent="0.25"/>
  <cols>
    <col min="1" max="1" width="19.140625" style="20" customWidth="1"/>
    <col min="2" max="2" width="9.5703125" style="28" customWidth="1"/>
    <col min="3" max="10" width="9.5703125" style="15" customWidth="1"/>
    <col min="11" max="16384" width="9.85546875" style="15"/>
  </cols>
  <sheetData>
    <row r="1" spans="1:10" s="28" customFormat="1" ht="14.45" customHeight="1" x14ac:dyDescent="0.25">
      <c r="A1" s="355" t="s">
        <v>44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28" customFormat="1" ht="14.45" customHeight="1" x14ac:dyDescent="0.25">
      <c r="A2" s="355" t="s">
        <v>405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s="28" customFormat="1" ht="14.45" customHeight="1" x14ac:dyDescent="0.25">
      <c r="A3" s="16" t="s">
        <v>1</v>
      </c>
      <c r="B3" s="29" t="s">
        <v>2</v>
      </c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29">
        <v>2019</v>
      </c>
    </row>
    <row r="4" spans="1:10" ht="14.45" customHeight="1" x14ac:dyDescent="0.25">
      <c r="A4" s="18" t="s">
        <v>45</v>
      </c>
      <c r="B4" s="30" t="s">
        <v>46</v>
      </c>
      <c r="C4" s="2" t="s">
        <v>159</v>
      </c>
      <c r="D4" s="2" t="s">
        <v>159</v>
      </c>
      <c r="E4" s="2" t="s">
        <v>159</v>
      </c>
      <c r="F4" s="2" t="s">
        <v>159</v>
      </c>
      <c r="G4" s="2" t="s">
        <v>159</v>
      </c>
      <c r="H4" s="2">
        <v>1</v>
      </c>
      <c r="I4" s="2" t="s">
        <v>159</v>
      </c>
      <c r="J4" s="33" t="s">
        <v>159</v>
      </c>
    </row>
    <row r="5" spans="1:10" ht="14.45" customHeight="1" x14ac:dyDescent="0.25">
      <c r="A5" s="19" t="s">
        <v>45</v>
      </c>
      <c r="B5" s="31" t="s">
        <v>47</v>
      </c>
      <c r="C5" s="3" t="s">
        <v>159</v>
      </c>
      <c r="D5" s="3" t="s">
        <v>159</v>
      </c>
      <c r="E5" s="3" t="s">
        <v>159</v>
      </c>
      <c r="F5" s="3" t="s">
        <v>159</v>
      </c>
      <c r="G5" s="3" t="s">
        <v>159</v>
      </c>
      <c r="H5" s="3" t="s">
        <v>159</v>
      </c>
      <c r="I5" s="3">
        <v>1</v>
      </c>
      <c r="J5" s="35" t="s">
        <v>159</v>
      </c>
    </row>
    <row r="6" spans="1:10" ht="14.45" customHeight="1" x14ac:dyDescent="0.25">
      <c r="A6" s="18" t="s">
        <v>25</v>
      </c>
      <c r="B6" s="30" t="s">
        <v>48</v>
      </c>
      <c r="C6" s="2" t="s">
        <v>159</v>
      </c>
      <c r="D6" s="2" t="s">
        <v>159</v>
      </c>
      <c r="E6" s="2" t="s">
        <v>159</v>
      </c>
      <c r="F6" s="2" t="s">
        <v>159</v>
      </c>
      <c r="G6" s="2" t="s">
        <v>159</v>
      </c>
      <c r="H6" s="2" t="s">
        <v>159</v>
      </c>
      <c r="I6" s="2">
        <v>1</v>
      </c>
      <c r="J6" s="33" t="s">
        <v>159</v>
      </c>
    </row>
    <row r="7" spans="1:10" ht="14.45" customHeight="1" x14ac:dyDescent="0.25">
      <c r="A7" s="19" t="s">
        <v>49</v>
      </c>
      <c r="B7" s="31" t="s">
        <v>8</v>
      </c>
      <c r="C7" s="3" t="s">
        <v>159</v>
      </c>
      <c r="D7" s="3" t="s">
        <v>159</v>
      </c>
      <c r="E7" s="3" t="s">
        <v>159</v>
      </c>
      <c r="F7" s="3" t="s">
        <v>159</v>
      </c>
      <c r="G7" s="3" t="s">
        <v>159</v>
      </c>
      <c r="H7" s="3">
        <v>1</v>
      </c>
      <c r="I7" s="3">
        <v>1</v>
      </c>
      <c r="J7" s="35">
        <v>1</v>
      </c>
    </row>
    <row r="8" spans="1:10" ht="14.45" customHeight="1" x14ac:dyDescent="0.25">
      <c r="A8" s="18" t="s">
        <v>50</v>
      </c>
      <c r="B8" s="30" t="s">
        <v>4</v>
      </c>
      <c r="C8" s="2" t="s">
        <v>159</v>
      </c>
      <c r="D8" s="2" t="s">
        <v>159</v>
      </c>
      <c r="E8" s="2" t="s">
        <v>159</v>
      </c>
      <c r="F8" s="2" t="s">
        <v>159</v>
      </c>
      <c r="G8" s="2" t="s">
        <v>159</v>
      </c>
      <c r="H8" s="2" t="s">
        <v>159</v>
      </c>
      <c r="I8" s="2" t="s">
        <v>159</v>
      </c>
      <c r="J8" s="33" t="s">
        <v>159</v>
      </c>
    </row>
    <row r="9" spans="1:10" ht="14.45" customHeight="1" x14ac:dyDescent="0.25">
      <c r="A9" s="19" t="s">
        <v>51</v>
      </c>
      <c r="B9" s="31" t="s">
        <v>52</v>
      </c>
      <c r="C9" s="3" t="s">
        <v>159</v>
      </c>
      <c r="D9" s="3" t="s">
        <v>159</v>
      </c>
      <c r="E9" s="3" t="s">
        <v>159</v>
      </c>
      <c r="F9" s="3" t="s">
        <v>159</v>
      </c>
      <c r="G9" s="3" t="s">
        <v>159</v>
      </c>
      <c r="H9" s="3" t="s">
        <v>159</v>
      </c>
      <c r="I9" s="3" t="s">
        <v>159</v>
      </c>
      <c r="J9" s="35" t="s">
        <v>159</v>
      </c>
    </row>
    <row r="10" spans="1:10" ht="14.45" customHeight="1" x14ac:dyDescent="0.25">
      <c r="A10" s="18" t="s">
        <v>51</v>
      </c>
      <c r="B10" s="30" t="s">
        <v>53</v>
      </c>
      <c r="C10" s="2" t="s">
        <v>159</v>
      </c>
      <c r="D10" s="2" t="s">
        <v>159</v>
      </c>
      <c r="E10" s="2" t="s">
        <v>159</v>
      </c>
      <c r="F10" s="2" t="s">
        <v>159</v>
      </c>
      <c r="G10" s="2" t="s">
        <v>159</v>
      </c>
      <c r="H10" s="2" t="s">
        <v>159</v>
      </c>
      <c r="I10" s="2">
        <v>1</v>
      </c>
      <c r="J10" s="33" t="s">
        <v>159</v>
      </c>
    </row>
    <row r="11" spans="1:10" ht="14.45" customHeight="1" x14ac:dyDescent="0.25">
      <c r="A11" s="19" t="s">
        <v>5</v>
      </c>
      <c r="B11" s="31" t="s">
        <v>6</v>
      </c>
      <c r="C11" s="3" t="s">
        <v>159</v>
      </c>
      <c r="D11" s="3" t="s">
        <v>159</v>
      </c>
      <c r="E11" s="3">
        <v>2</v>
      </c>
      <c r="F11" s="3" t="s">
        <v>159</v>
      </c>
      <c r="G11" s="3" t="s">
        <v>159</v>
      </c>
      <c r="H11" s="3" t="s">
        <v>159</v>
      </c>
      <c r="I11" s="3" t="s">
        <v>159</v>
      </c>
      <c r="J11" s="35" t="s">
        <v>159</v>
      </c>
    </row>
    <row r="12" spans="1:10" ht="14.45" customHeight="1" x14ac:dyDescent="0.25">
      <c r="A12" s="18" t="s">
        <v>51</v>
      </c>
      <c r="B12" s="30" t="s">
        <v>54</v>
      </c>
      <c r="C12" s="2" t="s">
        <v>159</v>
      </c>
      <c r="D12" s="2" t="s">
        <v>159</v>
      </c>
      <c r="E12" s="2">
        <v>5</v>
      </c>
      <c r="F12" s="2" t="s">
        <v>159</v>
      </c>
      <c r="G12" s="2" t="s">
        <v>159</v>
      </c>
      <c r="H12" s="2" t="s">
        <v>159</v>
      </c>
      <c r="I12" s="2" t="s">
        <v>159</v>
      </c>
      <c r="J12" s="33" t="s">
        <v>159</v>
      </c>
    </row>
    <row r="13" spans="1:10" ht="14.45" customHeight="1" x14ac:dyDescent="0.25">
      <c r="A13" s="19" t="s">
        <v>36</v>
      </c>
      <c r="B13" s="31" t="s">
        <v>53</v>
      </c>
      <c r="C13" s="3" t="s">
        <v>159</v>
      </c>
      <c r="D13" s="3" t="s">
        <v>159</v>
      </c>
      <c r="E13" s="3">
        <v>3</v>
      </c>
      <c r="F13" s="3" t="s">
        <v>159</v>
      </c>
      <c r="G13" s="3" t="s">
        <v>159</v>
      </c>
      <c r="H13" s="3" t="s">
        <v>159</v>
      </c>
      <c r="I13" s="3" t="s">
        <v>159</v>
      </c>
      <c r="J13" s="35" t="s">
        <v>159</v>
      </c>
    </row>
    <row r="14" spans="1:10" ht="14.45" customHeight="1" x14ac:dyDescent="0.25">
      <c r="A14" s="18" t="s">
        <v>55</v>
      </c>
      <c r="B14" s="30" t="s">
        <v>56</v>
      </c>
      <c r="C14" s="2" t="s">
        <v>159</v>
      </c>
      <c r="D14" s="2" t="s">
        <v>159</v>
      </c>
      <c r="E14" s="2">
        <v>1</v>
      </c>
      <c r="F14" s="2" t="s">
        <v>159</v>
      </c>
      <c r="G14" s="2" t="s">
        <v>159</v>
      </c>
      <c r="H14" s="2" t="s">
        <v>159</v>
      </c>
      <c r="I14" s="2" t="s">
        <v>159</v>
      </c>
      <c r="J14" s="33" t="s">
        <v>159</v>
      </c>
    </row>
    <row r="15" spans="1:10" ht="14.45" customHeight="1" x14ac:dyDescent="0.25">
      <c r="A15" s="19" t="s">
        <v>57</v>
      </c>
      <c r="B15" s="31" t="s">
        <v>58</v>
      </c>
      <c r="C15" s="3" t="s">
        <v>159</v>
      </c>
      <c r="D15" s="3" t="s">
        <v>159</v>
      </c>
      <c r="E15" s="3" t="s">
        <v>159</v>
      </c>
      <c r="F15" s="3" t="s">
        <v>159</v>
      </c>
      <c r="G15" s="3" t="s">
        <v>159</v>
      </c>
      <c r="H15" s="3" t="s">
        <v>159</v>
      </c>
      <c r="I15" s="3" t="s">
        <v>159</v>
      </c>
      <c r="J15" s="35" t="s">
        <v>159</v>
      </c>
    </row>
    <row r="16" spans="1:10" ht="14.45" customHeight="1" x14ac:dyDescent="0.25">
      <c r="A16" s="18" t="s">
        <v>59</v>
      </c>
      <c r="B16" s="30" t="s">
        <v>60</v>
      </c>
      <c r="C16" s="2" t="s">
        <v>159</v>
      </c>
      <c r="D16" s="2" t="s">
        <v>159</v>
      </c>
      <c r="E16" s="2" t="s">
        <v>159</v>
      </c>
      <c r="F16" s="2" t="s">
        <v>159</v>
      </c>
      <c r="G16" s="2" t="s">
        <v>159</v>
      </c>
      <c r="H16" s="2" t="s">
        <v>159</v>
      </c>
      <c r="I16" s="2" t="s">
        <v>159</v>
      </c>
      <c r="J16" s="33" t="s">
        <v>159</v>
      </c>
    </row>
    <row r="17" spans="1:10" ht="14.45" customHeight="1" x14ac:dyDescent="0.25">
      <c r="A17" s="354" t="s">
        <v>9</v>
      </c>
      <c r="B17" s="354"/>
      <c r="C17" s="8">
        <v>0</v>
      </c>
      <c r="D17" s="8">
        <v>0</v>
      </c>
      <c r="E17" s="8">
        <v>11</v>
      </c>
      <c r="F17" s="8">
        <v>0</v>
      </c>
      <c r="G17" s="8">
        <v>0</v>
      </c>
      <c r="H17" s="8">
        <v>2</v>
      </c>
      <c r="I17" s="8">
        <v>4</v>
      </c>
      <c r="J17" s="13">
        <v>1</v>
      </c>
    </row>
    <row r="18" spans="1:10" ht="14.45" customHeight="1" x14ac:dyDescent="0.25">
      <c r="A18" s="18" t="s">
        <v>61</v>
      </c>
      <c r="B18" s="30" t="s">
        <v>62</v>
      </c>
      <c r="C18" s="2">
        <v>2</v>
      </c>
      <c r="D18" s="2">
        <v>2</v>
      </c>
      <c r="E18" s="2" t="s">
        <v>159</v>
      </c>
      <c r="F18" s="2" t="s">
        <v>159</v>
      </c>
      <c r="G18" s="2" t="s">
        <v>159</v>
      </c>
      <c r="H18" s="2" t="s">
        <v>159</v>
      </c>
      <c r="I18" s="2" t="s">
        <v>159</v>
      </c>
      <c r="J18" s="33" t="s">
        <v>159</v>
      </c>
    </row>
    <row r="19" spans="1:10" ht="22.5" x14ac:dyDescent="0.25">
      <c r="A19" s="19" t="s">
        <v>63</v>
      </c>
      <c r="B19" s="31" t="s">
        <v>37</v>
      </c>
      <c r="C19" s="3" t="s">
        <v>159</v>
      </c>
      <c r="D19" s="3" t="s">
        <v>159</v>
      </c>
      <c r="E19" s="3" t="s">
        <v>159</v>
      </c>
      <c r="F19" s="3" t="s">
        <v>159</v>
      </c>
      <c r="G19" s="3" t="s">
        <v>159</v>
      </c>
      <c r="H19" s="3" t="s">
        <v>159</v>
      </c>
      <c r="I19" s="3">
        <v>1</v>
      </c>
      <c r="J19" s="35" t="s">
        <v>159</v>
      </c>
    </row>
    <row r="20" spans="1:10" ht="14.45" customHeight="1" x14ac:dyDescent="0.25">
      <c r="A20" s="18" t="s">
        <v>64</v>
      </c>
      <c r="B20" s="30" t="s">
        <v>65</v>
      </c>
      <c r="C20" s="2" t="s">
        <v>159</v>
      </c>
      <c r="D20" s="2" t="s">
        <v>159</v>
      </c>
      <c r="E20" s="2" t="s">
        <v>159</v>
      </c>
      <c r="F20" s="2" t="s">
        <v>159</v>
      </c>
      <c r="G20" s="2" t="s">
        <v>159</v>
      </c>
      <c r="H20" s="2" t="s">
        <v>159</v>
      </c>
      <c r="I20" s="2" t="s">
        <v>159</v>
      </c>
      <c r="J20" s="33" t="s">
        <v>159</v>
      </c>
    </row>
    <row r="21" spans="1:10" ht="14.45" customHeight="1" x14ac:dyDescent="0.25">
      <c r="A21" s="354" t="s">
        <v>20</v>
      </c>
      <c r="B21" s="354"/>
      <c r="C21" s="8">
        <v>2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3">
        <v>0</v>
      </c>
    </row>
    <row r="22" spans="1:10" ht="14.45" customHeight="1" x14ac:dyDescent="0.25">
      <c r="A22" s="18" t="s">
        <v>28</v>
      </c>
      <c r="B22" s="30">
        <v>56</v>
      </c>
      <c r="C22" s="2">
        <v>2</v>
      </c>
      <c r="D22" s="2" t="s">
        <v>159</v>
      </c>
      <c r="E22" s="2" t="s">
        <v>159</v>
      </c>
      <c r="F22" s="2" t="s">
        <v>159</v>
      </c>
      <c r="G22" s="2" t="s">
        <v>159</v>
      </c>
      <c r="H22" s="2" t="s">
        <v>159</v>
      </c>
      <c r="I22" s="2" t="s">
        <v>159</v>
      </c>
      <c r="J22" s="33" t="s">
        <v>159</v>
      </c>
    </row>
    <row r="23" spans="1:10" ht="14.45" customHeight="1" x14ac:dyDescent="0.25">
      <c r="A23" s="19" t="s">
        <v>29</v>
      </c>
      <c r="B23" s="31">
        <v>57</v>
      </c>
      <c r="C23" s="3">
        <v>2</v>
      </c>
      <c r="D23" s="3" t="s">
        <v>159</v>
      </c>
      <c r="E23" s="3" t="s">
        <v>159</v>
      </c>
      <c r="F23" s="3" t="s">
        <v>159</v>
      </c>
      <c r="G23" s="3" t="s">
        <v>159</v>
      </c>
      <c r="H23" s="3">
        <v>1</v>
      </c>
      <c r="I23" s="3" t="s">
        <v>159</v>
      </c>
      <c r="J23" s="35" t="s">
        <v>159</v>
      </c>
    </row>
    <row r="24" spans="1:10" ht="14.45" customHeight="1" x14ac:dyDescent="0.25">
      <c r="A24" s="18" t="s">
        <v>25</v>
      </c>
      <c r="B24" s="30">
        <v>58</v>
      </c>
      <c r="C24" s="2" t="s">
        <v>159</v>
      </c>
      <c r="D24" s="2">
        <v>1</v>
      </c>
      <c r="E24" s="2" t="s">
        <v>159</v>
      </c>
      <c r="F24" s="2" t="s">
        <v>159</v>
      </c>
      <c r="G24" s="2" t="s">
        <v>159</v>
      </c>
      <c r="H24" s="2" t="s">
        <v>159</v>
      </c>
      <c r="I24" s="2" t="s">
        <v>159</v>
      </c>
      <c r="J24" s="33" t="s">
        <v>159</v>
      </c>
    </row>
    <row r="25" spans="1:10" ht="14.45" customHeight="1" x14ac:dyDescent="0.25">
      <c r="A25" s="19" t="s">
        <v>66</v>
      </c>
      <c r="B25" s="31">
        <v>64</v>
      </c>
      <c r="C25" s="3">
        <v>1</v>
      </c>
      <c r="D25" s="3" t="s">
        <v>159</v>
      </c>
      <c r="E25" s="3" t="s">
        <v>159</v>
      </c>
      <c r="F25" s="3" t="s">
        <v>159</v>
      </c>
      <c r="G25" s="3" t="s">
        <v>159</v>
      </c>
      <c r="H25" s="3" t="s">
        <v>159</v>
      </c>
      <c r="I25" s="3" t="s">
        <v>159</v>
      </c>
      <c r="J25" s="35" t="s">
        <v>159</v>
      </c>
    </row>
    <row r="26" spans="1:10" ht="14.45" customHeight="1" x14ac:dyDescent="0.25">
      <c r="A26" s="18" t="s">
        <v>67</v>
      </c>
      <c r="B26" s="30">
        <v>76</v>
      </c>
      <c r="C26" s="2" t="s">
        <v>159</v>
      </c>
      <c r="D26" s="2" t="s">
        <v>159</v>
      </c>
      <c r="E26" s="2" t="s">
        <v>159</v>
      </c>
      <c r="F26" s="2">
        <v>1</v>
      </c>
      <c r="G26" s="2" t="s">
        <v>159</v>
      </c>
      <c r="H26" s="2" t="s">
        <v>159</v>
      </c>
      <c r="I26" s="2" t="s">
        <v>159</v>
      </c>
      <c r="J26" s="33" t="s">
        <v>159</v>
      </c>
    </row>
    <row r="27" spans="1:10" ht="14.45" customHeight="1" x14ac:dyDescent="0.25">
      <c r="A27" s="19" t="s">
        <v>28</v>
      </c>
      <c r="B27" s="31">
        <v>88</v>
      </c>
      <c r="C27" s="3" t="s">
        <v>159</v>
      </c>
      <c r="D27" s="3">
        <v>1</v>
      </c>
      <c r="E27" s="3" t="s">
        <v>159</v>
      </c>
      <c r="F27" s="3">
        <v>1</v>
      </c>
      <c r="G27" s="3" t="s">
        <v>159</v>
      </c>
      <c r="H27" s="3" t="s">
        <v>159</v>
      </c>
      <c r="I27" s="3" t="s">
        <v>159</v>
      </c>
      <c r="J27" s="35" t="s">
        <v>159</v>
      </c>
    </row>
    <row r="28" spans="1:10" ht="14.45" customHeight="1" x14ac:dyDescent="0.25">
      <c r="A28" s="18" t="s">
        <v>258</v>
      </c>
      <c r="B28" s="30">
        <v>95</v>
      </c>
      <c r="C28" s="2" t="s">
        <v>159</v>
      </c>
      <c r="D28" s="2">
        <v>1</v>
      </c>
      <c r="E28" s="2" t="s">
        <v>159</v>
      </c>
      <c r="F28" s="2">
        <v>1</v>
      </c>
      <c r="G28" s="2" t="s">
        <v>159</v>
      </c>
      <c r="H28" s="2" t="s">
        <v>159</v>
      </c>
      <c r="I28" s="2" t="s">
        <v>159</v>
      </c>
      <c r="J28" s="33">
        <v>1</v>
      </c>
    </row>
    <row r="29" spans="1:10" ht="14.45" customHeight="1" x14ac:dyDescent="0.25">
      <c r="A29" s="19" t="s">
        <v>68</v>
      </c>
      <c r="B29" s="31">
        <v>100</v>
      </c>
      <c r="C29" s="3" t="s">
        <v>159</v>
      </c>
      <c r="D29" s="3" t="s">
        <v>159</v>
      </c>
      <c r="E29" s="3" t="s">
        <v>159</v>
      </c>
      <c r="F29" s="3" t="s">
        <v>159</v>
      </c>
      <c r="G29" s="3" t="s">
        <v>159</v>
      </c>
      <c r="H29" s="3" t="s">
        <v>159</v>
      </c>
      <c r="I29" s="3" t="s">
        <v>159</v>
      </c>
      <c r="J29" s="35" t="s">
        <v>159</v>
      </c>
    </row>
    <row r="30" spans="1:10" ht="14.45" customHeight="1" x14ac:dyDescent="0.25">
      <c r="A30" s="18" t="s">
        <v>22</v>
      </c>
      <c r="B30" s="30">
        <v>107</v>
      </c>
      <c r="C30" s="2" t="s">
        <v>159</v>
      </c>
      <c r="D30" s="2" t="s">
        <v>159</v>
      </c>
      <c r="E30" s="2" t="s">
        <v>159</v>
      </c>
      <c r="F30" s="2" t="s">
        <v>159</v>
      </c>
      <c r="G30" s="2" t="s">
        <v>159</v>
      </c>
      <c r="H30" s="2" t="s">
        <v>159</v>
      </c>
      <c r="I30" s="2" t="s">
        <v>159</v>
      </c>
      <c r="J30" s="33" t="s">
        <v>159</v>
      </c>
    </row>
    <row r="31" spans="1:10" ht="14.45" customHeight="1" x14ac:dyDescent="0.25">
      <c r="A31" s="19" t="s">
        <v>28</v>
      </c>
      <c r="B31" s="31">
        <v>108</v>
      </c>
      <c r="C31" s="3" t="s">
        <v>159</v>
      </c>
      <c r="D31" s="3" t="s">
        <v>159</v>
      </c>
      <c r="E31" s="3" t="s">
        <v>159</v>
      </c>
      <c r="F31" s="3" t="s">
        <v>159</v>
      </c>
      <c r="G31" s="3" t="s">
        <v>159</v>
      </c>
      <c r="H31" s="3" t="s">
        <v>159</v>
      </c>
      <c r="I31" s="3" t="s">
        <v>159</v>
      </c>
      <c r="J31" s="35">
        <v>1</v>
      </c>
    </row>
    <row r="32" spans="1:10" ht="14.45" customHeight="1" x14ac:dyDescent="0.25">
      <c r="A32" s="18" t="s">
        <v>27</v>
      </c>
      <c r="B32" s="30">
        <v>116</v>
      </c>
      <c r="C32" s="2" t="s">
        <v>159</v>
      </c>
      <c r="D32" s="2" t="s">
        <v>159</v>
      </c>
      <c r="E32" s="2">
        <v>1</v>
      </c>
      <c r="F32" s="2" t="s">
        <v>159</v>
      </c>
      <c r="G32" s="2" t="s">
        <v>159</v>
      </c>
      <c r="H32" s="2" t="s">
        <v>159</v>
      </c>
      <c r="I32" s="2" t="s">
        <v>159</v>
      </c>
      <c r="J32" s="33" t="s">
        <v>159</v>
      </c>
    </row>
    <row r="33" spans="1:10" ht="14.45" customHeight="1" x14ac:dyDescent="0.25">
      <c r="A33" s="19" t="s">
        <v>69</v>
      </c>
      <c r="B33" s="31">
        <v>126</v>
      </c>
      <c r="C33" s="3">
        <v>2</v>
      </c>
      <c r="D33" s="3" t="s">
        <v>159</v>
      </c>
      <c r="E33" s="3" t="s">
        <v>159</v>
      </c>
      <c r="F33" s="3" t="s">
        <v>159</v>
      </c>
      <c r="G33" s="3" t="s">
        <v>159</v>
      </c>
      <c r="H33" s="3" t="s">
        <v>159</v>
      </c>
      <c r="I33" s="3" t="s">
        <v>159</v>
      </c>
      <c r="J33" s="35" t="s">
        <v>159</v>
      </c>
    </row>
    <row r="34" spans="1:10" ht="14.45" customHeight="1" x14ac:dyDescent="0.25">
      <c r="A34" s="18" t="s">
        <v>66</v>
      </c>
      <c r="B34" s="30">
        <v>103</v>
      </c>
      <c r="C34" s="2" t="s">
        <v>159</v>
      </c>
      <c r="D34" s="2" t="s">
        <v>159</v>
      </c>
      <c r="E34" s="2" t="s">
        <v>159</v>
      </c>
      <c r="F34" s="2" t="s">
        <v>159</v>
      </c>
      <c r="G34" s="2" t="s">
        <v>159</v>
      </c>
      <c r="H34" s="2" t="s">
        <v>159</v>
      </c>
      <c r="I34" s="2" t="s">
        <v>159</v>
      </c>
      <c r="J34" s="33" t="s">
        <v>159</v>
      </c>
    </row>
    <row r="35" spans="1:10" ht="14.45" customHeight="1" x14ac:dyDescent="0.25">
      <c r="A35" s="19" t="s">
        <v>26</v>
      </c>
      <c r="B35" s="31">
        <v>131</v>
      </c>
      <c r="C35" s="3" t="s">
        <v>159</v>
      </c>
      <c r="D35" s="3">
        <v>1</v>
      </c>
      <c r="E35" s="3" t="s">
        <v>159</v>
      </c>
      <c r="F35" s="3">
        <v>1</v>
      </c>
      <c r="G35" s="3" t="s">
        <v>159</v>
      </c>
      <c r="H35" s="3">
        <v>1</v>
      </c>
      <c r="I35" s="3" t="s">
        <v>159</v>
      </c>
      <c r="J35" s="35" t="s">
        <v>159</v>
      </c>
    </row>
    <row r="36" spans="1:10" ht="14.45" customHeight="1" x14ac:dyDescent="0.25">
      <c r="A36" s="18" t="s">
        <v>27</v>
      </c>
      <c r="B36" s="30">
        <v>138</v>
      </c>
      <c r="C36" s="2" t="s">
        <v>159</v>
      </c>
      <c r="D36" s="2">
        <v>1</v>
      </c>
      <c r="E36" s="2" t="s">
        <v>159</v>
      </c>
      <c r="F36" s="2" t="s">
        <v>159</v>
      </c>
      <c r="G36" s="2" t="s">
        <v>159</v>
      </c>
      <c r="H36" s="2" t="s">
        <v>159</v>
      </c>
      <c r="I36" s="2" t="s">
        <v>159</v>
      </c>
      <c r="J36" s="33" t="s">
        <v>159</v>
      </c>
    </row>
    <row r="37" spans="1:10" ht="14.45" customHeight="1" x14ac:dyDescent="0.25">
      <c r="A37" s="19" t="s">
        <v>70</v>
      </c>
      <c r="B37" s="31">
        <v>145</v>
      </c>
      <c r="C37" s="3" t="s">
        <v>159</v>
      </c>
      <c r="D37" s="3" t="s">
        <v>159</v>
      </c>
      <c r="E37" s="3" t="s">
        <v>159</v>
      </c>
      <c r="F37" s="3" t="s">
        <v>159</v>
      </c>
      <c r="G37" s="3" t="s">
        <v>159</v>
      </c>
      <c r="H37" s="3" t="s">
        <v>159</v>
      </c>
      <c r="I37" s="3" t="s">
        <v>159</v>
      </c>
      <c r="J37" s="35" t="s">
        <v>159</v>
      </c>
    </row>
    <row r="38" spans="1:10" ht="14.45" customHeight="1" x14ac:dyDescent="0.25">
      <c r="A38" s="354" t="s">
        <v>30</v>
      </c>
      <c r="B38" s="354"/>
      <c r="C38" s="8">
        <v>7</v>
      </c>
      <c r="D38" s="8">
        <v>5</v>
      </c>
      <c r="E38" s="8">
        <v>1</v>
      </c>
      <c r="F38" s="8">
        <v>4</v>
      </c>
      <c r="G38" s="8">
        <v>0</v>
      </c>
      <c r="H38" s="8">
        <v>2</v>
      </c>
      <c r="I38" s="8">
        <v>0</v>
      </c>
      <c r="J38" s="13">
        <v>2</v>
      </c>
    </row>
    <row r="39" spans="1:10" ht="14.45" customHeight="1" x14ac:dyDescent="0.25">
      <c r="A39" s="353" t="s">
        <v>32</v>
      </c>
      <c r="B39" s="353"/>
      <c r="C39" s="9">
        <v>9</v>
      </c>
      <c r="D39" s="9">
        <v>7</v>
      </c>
      <c r="E39" s="9">
        <v>12</v>
      </c>
      <c r="F39" s="9">
        <v>4</v>
      </c>
      <c r="G39" s="9">
        <v>0</v>
      </c>
      <c r="H39" s="9">
        <v>4</v>
      </c>
      <c r="I39" s="9">
        <v>5</v>
      </c>
      <c r="J39" s="14">
        <v>3</v>
      </c>
    </row>
  </sheetData>
  <mergeCells count="6">
    <mergeCell ref="A39:B39"/>
    <mergeCell ref="A17:B17"/>
    <mergeCell ref="A21:B21"/>
    <mergeCell ref="A38:B38"/>
    <mergeCell ref="A1:J1"/>
    <mergeCell ref="A2:J2"/>
  </mergeCells>
  <pageMargins left="0.7" right="0.7" top="0.75" bottom="0.75" header="0.3" footer="0.3"/>
  <pageSetup scale="94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6" x14ac:dyDescent="0.2">
      <c r="A1" s="438">
        <v>2019</v>
      </c>
      <c r="B1" s="438" t="s">
        <v>719</v>
      </c>
      <c r="C1" s="438"/>
      <c r="D1" s="438"/>
      <c r="E1" s="438" t="s">
        <v>550</v>
      </c>
      <c r="F1" s="254" t="s">
        <v>584</v>
      </c>
    </row>
    <row r="2" spans="1:6" ht="22.5" x14ac:dyDescent="0.2">
      <c r="A2" s="438"/>
      <c r="B2" s="256" t="s">
        <v>732</v>
      </c>
      <c r="C2" s="256" t="s">
        <v>733</v>
      </c>
      <c r="D2" s="256" t="s">
        <v>725</v>
      </c>
      <c r="E2" s="438"/>
      <c r="F2" s="256" t="s">
        <v>737</v>
      </c>
    </row>
    <row r="3" spans="1:6" x14ac:dyDescent="0.2">
      <c r="A3" s="295" t="s">
        <v>239</v>
      </c>
      <c r="B3" s="291">
        <v>12.54</v>
      </c>
      <c r="C3" s="291">
        <v>13.24</v>
      </c>
      <c r="D3" s="291">
        <v>14.62</v>
      </c>
      <c r="E3" s="291">
        <v>13.53</v>
      </c>
      <c r="F3" s="291">
        <v>36.409999999999997</v>
      </c>
    </row>
    <row r="4" spans="1:6" x14ac:dyDescent="0.2">
      <c r="A4" s="303" t="s">
        <v>240</v>
      </c>
      <c r="B4" s="304">
        <v>12.22</v>
      </c>
      <c r="C4" s="304">
        <v>12.63</v>
      </c>
      <c r="D4" s="304">
        <v>14.25</v>
      </c>
      <c r="E4" s="304">
        <v>13.47</v>
      </c>
      <c r="F4" s="304">
        <v>36.479999999999997</v>
      </c>
    </row>
    <row r="5" spans="1:6" x14ac:dyDescent="0.2">
      <c r="A5" s="295" t="s">
        <v>241</v>
      </c>
      <c r="B5" s="291">
        <v>12.19</v>
      </c>
      <c r="C5" s="291">
        <v>12.54</v>
      </c>
      <c r="D5" s="291">
        <v>14.14</v>
      </c>
      <c r="E5" s="291">
        <v>12.77</v>
      </c>
      <c r="F5" s="291">
        <v>36.520000000000003</v>
      </c>
    </row>
    <row r="6" spans="1:6" x14ac:dyDescent="0.2">
      <c r="A6" s="303" t="s">
        <v>242</v>
      </c>
      <c r="B6" s="304">
        <v>12.45</v>
      </c>
      <c r="C6" s="304">
        <v>12.85</v>
      </c>
      <c r="D6" s="304">
        <v>14.35</v>
      </c>
      <c r="E6" s="304">
        <v>12.65</v>
      </c>
      <c r="F6" s="304">
        <v>36.58</v>
      </c>
    </row>
    <row r="7" spans="1:6" x14ac:dyDescent="0.2">
      <c r="A7" s="295" t="s">
        <v>243</v>
      </c>
      <c r="B7" s="291">
        <v>12.65</v>
      </c>
      <c r="C7" s="291">
        <v>13.18</v>
      </c>
      <c r="D7" s="291">
        <v>14.43</v>
      </c>
      <c r="E7" s="291">
        <v>12.62</v>
      </c>
      <c r="F7" s="291">
        <v>36.549999999999997</v>
      </c>
    </row>
    <row r="8" spans="1:6" x14ac:dyDescent="0.2">
      <c r="A8" s="303" t="s">
        <v>244</v>
      </c>
      <c r="B8" s="304">
        <v>12.77</v>
      </c>
      <c r="C8" s="304">
        <v>13.18</v>
      </c>
      <c r="D8" s="304">
        <v>14.49</v>
      </c>
      <c r="E8" s="304">
        <v>12.67</v>
      </c>
      <c r="F8" s="304">
        <v>36.44</v>
      </c>
    </row>
    <row r="9" spans="1:6" x14ac:dyDescent="0.2">
      <c r="A9" s="295" t="s">
        <v>245</v>
      </c>
      <c r="B9" s="291">
        <v>12.77</v>
      </c>
      <c r="C9" s="291">
        <v>13.27</v>
      </c>
      <c r="D9" s="291">
        <v>14.54</v>
      </c>
      <c r="E9" s="291">
        <v>12.64</v>
      </c>
      <c r="F9" s="291">
        <v>36.29</v>
      </c>
    </row>
    <row r="10" spans="1:6" x14ac:dyDescent="0.2">
      <c r="A10" s="303" t="s">
        <v>246</v>
      </c>
      <c r="B10" s="304">
        <v>12.84</v>
      </c>
      <c r="C10" s="304">
        <v>13.42</v>
      </c>
      <c r="D10" s="304">
        <v>14.77</v>
      </c>
      <c r="E10" s="304">
        <v>12.58</v>
      </c>
      <c r="F10" s="304">
        <v>36.270000000000003</v>
      </c>
    </row>
    <row r="11" spans="1:6" x14ac:dyDescent="0.2">
      <c r="A11" s="295" t="s">
        <v>730</v>
      </c>
      <c r="B11" s="291">
        <v>12.82</v>
      </c>
      <c r="C11" s="291">
        <v>13.36</v>
      </c>
      <c r="D11" s="291">
        <v>14.69</v>
      </c>
      <c r="E11" s="291">
        <v>12.56</v>
      </c>
      <c r="F11" s="291">
        <v>36.57</v>
      </c>
    </row>
    <row r="12" spans="1:6" x14ac:dyDescent="0.2">
      <c r="A12" s="303" t="s">
        <v>248</v>
      </c>
      <c r="B12" s="304">
        <v>12.83</v>
      </c>
      <c r="C12" s="304">
        <v>13.45</v>
      </c>
      <c r="D12" s="304">
        <v>14.72</v>
      </c>
      <c r="E12" s="304">
        <v>12.53</v>
      </c>
      <c r="F12" s="304">
        <v>36.57</v>
      </c>
    </row>
    <row r="13" spans="1:6" x14ac:dyDescent="0.2">
      <c r="A13" s="295" t="s">
        <v>249</v>
      </c>
      <c r="B13" s="291">
        <v>12.81</v>
      </c>
      <c r="C13" s="291">
        <v>13.36</v>
      </c>
      <c r="D13" s="291">
        <v>14.64</v>
      </c>
      <c r="E13" s="291">
        <v>12.53</v>
      </c>
      <c r="F13" s="291">
        <v>36.28</v>
      </c>
    </row>
    <row r="14" spans="1:6" x14ac:dyDescent="0.2">
      <c r="A14" s="303" t="s">
        <v>250</v>
      </c>
      <c r="B14" s="304">
        <v>12.81</v>
      </c>
      <c r="C14" s="304">
        <v>13.29</v>
      </c>
      <c r="D14" s="304">
        <v>14.51</v>
      </c>
      <c r="E14" s="304">
        <v>12.58</v>
      </c>
      <c r="F14" s="304">
        <v>36.200000000000003</v>
      </c>
    </row>
    <row r="17" spans="1:1" x14ac:dyDescent="0.2">
      <c r="A17" s="305" t="s">
        <v>738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5" x14ac:dyDescent="0.2">
      <c r="A1" s="438">
        <v>2019</v>
      </c>
      <c r="B1" s="438" t="s">
        <v>739</v>
      </c>
      <c r="C1" s="438"/>
      <c r="D1" s="438" t="s">
        <v>550</v>
      </c>
      <c r="E1" s="254" t="s">
        <v>584</v>
      </c>
    </row>
    <row r="2" spans="1:5" ht="22.5" x14ac:dyDescent="0.2">
      <c r="A2" s="438"/>
      <c r="B2" s="256" t="s">
        <v>732</v>
      </c>
      <c r="C2" s="256" t="s">
        <v>733</v>
      </c>
      <c r="D2" s="438"/>
      <c r="E2" s="256" t="s">
        <v>737</v>
      </c>
    </row>
    <row r="3" spans="1:5" x14ac:dyDescent="0.2">
      <c r="A3" s="295" t="s">
        <v>239</v>
      </c>
      <c r="B3" s="291">
        <v>11.89</v>
      </c>
      <c r="C3" s="291">
        <v>11.96</v>
      </c>
      <c r="D3" s="291">
        <v>13.6</v>
      </c>
      <c r="E3" s="291">
        <v>38.28</v>
      </c>
    </row>
    <row r="4" spans="1:5" x14ac:dyDescent="0.2">
      <c r="A4" s="303" t="s">
        <v>240</v>
      </c>
      <c r="B4" s="304">
        <v>11.58</v>
      </c>
      <c r="C4" s="304">
        <v>11.54</v>
      </c>
      <c r="D4" s="304">
        <v>13.49</v>
      </c>
      <c r="E4" s="304">
        <v>38.04</v>
      </c>
    </row>
    <row r="5" spans="1:5" x14ac:dyDescent="0.2">
      <c r="A5" s="295" t="s">
        <v>241</v>
      </c>
      <c r="B5" s="291">
        <v>11.54</v>
      </c>
      <c r="C5" s="291">
        <v>11.47</v>
      </c>
      <c r="D5" s="291">
        <v>13.05</v>
      </c>
      <c r="E5" s="291">
        <v>38.17</v>
      </c>
    </row>
    <row r="6" spans="1:5" x14ac:dyDescent="0.2">
      <c r="A6" s="303" t="s">
        <v>242</v>
      </c>
      <c r="B6" s="304">
        <v>11.94</v>
      </c>
      <c r="C6" s="304">
        <v>12.19</v>
      </c>
      <c r="D6" s="304">
        <v>13.05</v>
      </c>
      <c r="E6" s="304">
        <v>38.17</v>
      </c>
    </row>
    <row r="7" spans="1:5" x14ac:dyDescent="0.2">
      <c r="A7" s="295" t="s">
        <v>243</v>
      </c>
      <c r="B7" s="291">
        <v>12.16</v>
      </c>
      <c r="C7" s="291">
        <v>12.72</v>
      </c>
      <c r="D7" s="291">
        <v>13.13</v>
      </c>
      <c r="E7" s="291">
        <v>38.11</v>
      </c>
    </row>
    <row r="8" spans="1:5" x14ac:dyDescent="0.2">
      <c r="A8" s="303" t="s">
        <v>244</v>
      </c>
      <c r="B8" s="304">
        <v>12.21</v>
      </c>
      <c r="C8" s="304">
        <v>12.7</v>
      </c>
      <c r="D8" s="304">
        <v>13.19</v>
      </c>
      <c r="E8" s="304">
        <v>37.700000000000003</v>
      </c>
    </row>
    <row r="9" spans="1:5" x14ac:dyDescent="0.2">
      <c r="A9" s="295" t="s">
        <v>245</v>
      </c>
      <c r="B9" s="291">
        <v>12.24</v>
      </c>
      <c r="C9" s="291">
        <v>12.72</v>
      </c>
      <c r="D9" s="291">
        <v>13.14</v>
      </c>
      <c r="E9" s="291">
        <v>37.590000000000003</v>
      </c>
    </row>
    <row r="10" spans="1:5" x14ac:dyDescent="0.2">
      <c r="A10" s="303" t="s">
        <v>246</v>
      </c>
      <c r="B10" s="304">
        <v>12.38</v>
      </c>
      <c r="C10" s="304">
        <v>13.03</v>
      </c>
      <c r="D10" s="304">
        <v>13.15</v>
      </c>
      <c r="E10" s="304">
        <v>37.82</v>
      </c>
    </row>
    <row r="11" spans="1:5" x14ac:dyDescent="0.2">
      <c r="A11" s="295" t="s">
        <v>730</v>
      </c>
      <c r="B11" s="291">
        <v>12.39</v>
      </c>
      <c r="C11" s="291">
        <v>13.02</v>
      </c>
      <c r="D11" s="291">
        <v>13.08</v>
      </c>
      <c r="E11" s="291">
        <v>37.71</v>
      </c>
    </row>
    <row r="12" spans="1:5" x14ac:dyDescent="0.2">
      <c r="A12" s="303" t="s">
        <v>248</v>
      </c>
      <c r="B12" s="304">
        <v>12.66</v>
      </c>
      <c r="C12" s="304">
        <v>13.05</v>
      </c>
      <c r="D12" s="304">
        <v>13.07</v>
      </c>
      <c r="E12" s="304">
        <v>37.82</v>
      </c>
    </row>
    <row r="13" spans="1:5" x14ac:dyDescent="0.2">
      <c r="A13" s="295" t="s">
        <v>249</v>
      </c>
      <c r="B13" s="291">
        <v>12.61</v>
      </c>
      <c r="C13" s="291">
        <v>12.94</v>
      </c>
      <c r="D13" s="291">
        <v>13.02</v>
      </c>
      <c r="E13" s="291">
        <v>38.28</v>
      </c>
    </row>
    <row r="14" spans="1:5" x14ac:dyDescent="0.2">
      <c r="A14" s="303" t="s">
        <v>250</v>
      </c>
      <c r="B14" s="304">
        <v>12.31</v>
      </c>
      <c r="C14" s="304">
        <v>12.68</v>
      </c>
      <c r="D14" s="304">
        <v>12.97</v>
      </c>
      <c r="E14" s="304">
        <v>38.07</v>
      </c>
    </row>
    <row r="16" spans="1:5" x14ac:dyDescent="0.2">
      <c r="A16" s="305" t="s">
        <v>740</v>
      </c>
    </row>
  </sheetData>
  <mergeCells count="3">
    <mergeCell ref="A1:A2"/>
    <mergeCell ref="B1:C1"/>
    <mergeCell ref="D1:D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6" x14ac:dyDescent="0.2">
      <c r="A1" s="438">
        <v>2019</v>
      </c>
      <c r="B1" s="438" t="s">
        <v>719</v>
      </c>
      <c r="C1" s="438"/>
      <c r="D1" s="438"/>
      <c r="E1" s="438" t="s">
        <v>550</v>
      </c>
      <c r="F1" s="254" t="s">
        <v>584</v>
      </c>
    </row>
    <row r="2" spans="1:6" ht="22.5" x14ac:dyDescent="0.2">
      <c r="A2" s="438"/>
      <c r="B2" s="256" t="s">
        <v>732</v>
      </c>
      <c r="C2" s="256" t="s">
        <v>733</v>
      </c>
      <c r="D2" s="256" t="s">
        <v>725</v>
      </c>
      <c r="E2" s="438"/>
      <c r="F2" s="256" t="s">
        <v>737</v>
      </c>
    </row>
    <row r="3" spans="1:6" x14ac:dyDescent="0.2">
      <c r="A3" s="295" t="s">
        <v>239</v>
      </c>
      <c r="B3" s="291">
        <v>12.48</v>
      </c>
      <c r="C3" s="291">
        <v>12.82</v>
      </c>
      <c r="D3" s="291">
        <v>13.86</v>
      </c>
      <c r="E3" s="291">
        <v>13.5</v>
      </c>
      <c r="F3" s="291">
        <v>35.01</v>
      </c>
    </row>
    <row r="4" spans="1:6" x14ac:dyDescent="0.2">
      <c r="A4" s="303" t="s">
        <v>240</v>
      </c>
      <c r="B4" s="304">
        <v>12.31</v>
      </c>
      <c r="C4" s="304">
        <v>12.59</v>
      </c>
      <c r="D4" s="304">
        <v>13.71</v>
      </c>
      <c r="E4" s="304">
        <v>13.44</v>
      </c>
      <c r="F4" s="304">
        <v>35.01</v>
      </c>
    </row>
    <row r="5" spans="1:6" x14ac:dyDescent="0.2">
      <c r="A5" s="295" t="s">
        <v>241</v>
      </c>
      <c r="B5" s="291">
        <v>11.76</v>
      </c>
      <c r="C5" s="291">
        <v>12.18</v>
      </c>
      <c r="D5" s="291">
        <v>13.42</v>
      </c>
      <c r="E5" s="291">
        <v>13.09</v>
      </c>
      <c r="F5" s="291">
        <v>35.049999999999997</v>
      </c>
    </row>
    <row r="6" spans="1:6" x14ac:dyDescent="0.2">
      <c r="A6" s="303" t="s">
        <v>242</v>
      </c>
      <c r="B6" s="304">
        <v>12</v>
      </c>
      <c r="C6" s="304">
        <v>12.44</v>
      </c>
      <c r="D6" s="304">
        <v>13.74</v>
      </c>
      <c r="E6" s="304">
        <v>12.85</v>
      </c>
      <c r="F6" s="304">
        <v>35.049999999999997</v>
      </c>
    </row>
    <row r="7" spans="1:6" x14ac:dyDescent="0.2">
      <c r="A7" s="295" t="s">
        <v>243</v>
      </c>
      <c r="B7" s="291">
        <v>12.29</v>
      </c>
      <c r="C7" s="291">
        <v>12.9</v>
      </c>
      <c r="D7" s="291">
        <v>13.89</v>
      </c>
      <c r="E7" s="291">
        <v>12.89</v>
      </c>
      <c r="F7" s="291">
        <v>35.01</v>
      </c>
    </row>
    <row r="8" spans="1:6" x14ac:dyDescent="0.2">
      <c r="A8" s="303" t="s">
        <v>244</v>
      </c>
      <c r="B8" s="304">
        <v>12.27</v>
      </c>
      <c r="C8" s="304">
        <v>12.8</v>
      </c>
      <c r="D8" s="304">
        <v>13.85</v>
      </c>
      <c r="E8" s="304">
        <v>12.9</v>
      </c>
      <c r="F8" s="304">
        <v>35.01</v>
      </c>
    </row>
    <row r="9" spans="1:6" x14ac:dyDescent="0.2">
      <c r="A9" s="295" t="s">
        <v>245</v>
      </c>
      <c r="B9" s="291">
        <v>12.29</v>
      </c>
      <c r="C9" s="291">
        <v>12.75</v>
      </c>
      <c r="D9" s="291">
        <v>13.79</v>
      </c>
      <c r="E9" s="291">
        <v>12.82</v>
      </c>
      <c r="F9" s="291">
        <v>34.89</v>
      </c>
    </row>
    <row r="10" spans="1:6" x14ac:dyDescent="0.2">
      <c r="A10" s="303" t="s">
        <v>246</v>
      </c>
      <c r="B10" s="304">
        <v>12.56</v>
      </c>
      <c r="C10" s="304">
        <v>12.91</v>
      </c>
      <c r="D10" s="304">
        <v>14.12</v>
      </c>
      <c r="E10" s="304">
        <v>12.79</v>
      </c>
      <c r="F10" s="304">
        <v>34.630000000000003</v>
      </c>
    </row>
    <row r="11" spans="1:6" x14ac:dyDescent="0.2">
      <c r="A11" s="295" t="s">
        <v>730</v>
      </c>
      <c r="B11" s="291">
        <v>12.43</v>
      </c>
      <c r="C11" s="291">
        <v>12.81</v>
      </c>
      <c r="D11" s="291">
        <v>13.96</v>
      </c>
      <c r="E11" s="291">
        <v>12.76</v>
      </c>
      <c r="F11" s="291">
        <v>34.590000000000003</v>
      </c>
    </row>
    <row r="12" spans="1:6" x14ac:dyDescent="0.2">
      <c r="A12" s="303" t="s">
        <v>248</v>
      </c>
      <c r="B12" s="304">
        <v>12.36</v>
      </c>
      <c r="C12" s="304">
        <v>12.91</v>
      </c>
      <c r="D12" s="304">
        <v>14.15</v>
      </c>
      <c r="E12" s="304">
        <v>12.76</v>
      </c>
      <c r="F12" s="304">
        <v>34.21</v>
      </c>
    </row>
    <row r="13" spans="1:6" x14ac:dyDescent="0.2">
      <c r="A13" s="295" t="s">
        <v>249</v>
      </c>
      <c r="B13" s="291">
        <v>12.34</v>
      </c>
      <c r="C13" s="291">
        <v>12.91</v>
      </c>
      <c r="D13" s="291">
        <v>14.14</v>
      </c>
      <c r="E13" s="291">
        <v>12.76</v>
      </c>
      <c r="F13" s="291">
        <v>33.700000000000003</v>
      </c>
    </row>
    <row r="14" spans="1:6" x14ac:dyDescent="0.2">
      <c r="A14" s="303" t="s">
        <v>250</v>
      </c>
      <c r="B14" s="304">
        <v>12.29</v>
      </c>
      <c r="C14" s="304">
        <v>12.85</v>
      </c>
      <c r="D14" s="304">
        <v>14.09</v>
      </c>
      <c r="E14" s="304">
        <v>12.8</v>
      </c>
      <c r="F14" s="304">
        <v>33.5</v>
      </c>
    </row>
    <row r="17" spans="1:1" x14ac:dyDescent="0.2">
      <c r="A17" s="305" t="s">
        <v>741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workbookViewId="0">
      <selection activeCell="L1" sqref="L1:L1048576"/>
    </sheetView>
  </sheetViews>
  <sheetFormatPr baseColWidth="10" defaultRowHeight="15" x14ac:dyDescent="0.25"/>
  <cols>
    <col min="6" max="6" width="14.28515625" customWidth="1"/>
  </cols>
  <sheetData>
    <row r="1" spans="1:6" ht="18" customHeight="1" x14ac:dyDescent="0.25">
      <c r="A1" s="438">
        <v>2019</v>
      </c>
      <c r="B1" s="438" t="s">
        <v>719</v>
      </c>
      <c r="C1" s="438"/>
      <c r="D1" s="438"/>
      <c r="E1" s="438" t="s">
        <v>550</v>
      </c>
      <c r="F1" s="254" t="s">
        <v>584</v>
      </c>
    </row>
    <row r="2" spans="1:6" ht="27" customHeight="1" x14ac:dyDescent="0.25">
      <c r="A2" s="438"/>
      <c r="B2" s="256" t="s">
        <v>732</v>
      </c>
      <c r="C2" s="256" t="s">
        <v>733</v>
      </c>
      <c r="D2" s="256" t="s">
        <v>725</v>
      </c>
      <c r="E2" s="438"/>
      <c r="F2" s="256" t="s">
        <v>737</v>
      </c>
    </row>
    <row r="3" spans="1:6" ht="12" customHeight="1" x14ac:dyDescent="0.25">
      <c r="A3" s="295" t="s">
        <v>239</v>
      </c>
      <c r="B3" s="291">
        <v>11.54</v>
      </c>
      <c r="C3" s="291">
        <v>11.92</v>
      </c>
      <c r="D3" s="291">
        <v>12.91</v>
      </c>
      <c r="E3" s="291">
        <v>13.08</v>
      </c>
      <c r="F3" s="291">
        <v>39.979999999999997</v>
      </c>
    </row>
    <row r="4" spans="1:6" ht="12" customHeight="1" x14ac:dyDescent="0.25">
      <c r="A4" s="303" t="s">
        <v>240</v>
      </c>
      <c r="B4" s="304">
        <v>11.17</v>
      </c>
      <c r="C4" s="304">
        <v>11.49</v>
      </c>
      <c r="D4" s="304">
        <v>12.54</v>
      </c>
      <c r="E4" s="304">
        <v>13.07</v>
      </c>
      <c r="F4" s="304">
        <v>39.97</v>
      </c>
    </row>
    <row r="5" spans="1:6" ht="12" customHeight="1" x14ac:dyDescent="0.25">
      <c r="A5" s="295" t="s">
        <v>241</v>
      </c>
      <c r="B5" s="291">
        <v>11.12</v>
      </c>
      <c r="C5" s="291">
        <v>11.45</v>
      </c>
      <c r="D5" s="291">
        <v>12.52</v>
      </c>
      <c r="E5" s="291">
        <v>12.84</v>
      </c>
      <c r="F5" s="291">
        <v>39.82</v>
      </c>
    </row>
    <row r="6" spans="1:6" ht="12" customHeight="1" x14ac:dyDescent="0.25">
      <c r="A6" s="303" t="s">
        <v>242</v>
      </c>
      <c r="B6" s="304">
        <v>11.9</v>
      </c>
      <c r="C6" s="304">
        <v>12.33</v>
      </c>
      <c r="D6" s="304">
        <v>13.32</v>
      </c>
      <c r="E6" s="304">
        <v>12.68</v>
      </c>
      <c r="F6" s="304">
        <v>39.729999999999997</v>
      </c>
    </row>
    <row r="7" spans="1:6" ht="12" customHeight="1" x14ac:dyDescent="0.25">
      <c r="A7" s="295" t="s">
        <v>243</v>
      </c>
      <c r="B7" s="291">
        <v>12.25</v>
      </c>
      <c r="C7" s="291">
        <v>12.78</v>
      </c>
      <c r="D7" s="291">
        <v>13.69</v>
      </c>
      <c r="E7" s="291">
        <v>12.78</v>
      </c>
      <c r="F7" s="291">
        <v>39.67</v>
      </c>
    </row>
    <row r="8" spans="1:6" ht="12" customHeight="1" x14ac:dyDescent="0.25">
      <c r="A8" s="303" t="s">
        <v>244</v>
      </c>
      <c r="B8" s="304">
        <v>12.22</v>
      </c>
      <c r="C8" s="304">
        <v>12.75</v>
      </c>
      <c r="D8" s="304">
        <v>13.65</v>
      </c>
      <c r="E8" s="304">
        <v>12.81</v>
      </c>
      <c r="F8" s="304">
        <v>39.61</v>
      </c>
    </row>
    <row r="9" spans="1:6" ht="12" customHeight="1" x14ac:dyDescent="0.25">
      <c r="A9" s="295" t="s">
        <v>245</v>
      </c>
      <c r="B9" s="291">
        <v>12.44</v>
      </c>
      <c r="C9" s="291">
        <v>12.98</v>
      </c>
      <c r="D9" s="291">
        <v>13.93</v>
      </c>
      <c r="E9" s="291">
        <v>12.72</v>
      </c>
      <c r="F9" s="291">
        <v>39.4</v>
      </c>
    </row>
    <row r="10" spans="1:6" ht="12" customHeight="1" x14ac:dyDescent="0.25">
      <c r="A10" s="303" t="s">
        <v>246</v>
      </c>
      <c r="B10" s="304">
        <v>12.49</v>
      </c>
      <c r="C10" s="304">
        <v>13.03</v>
      </c>
      <c r="D10" s="304">
        <v>13.97</v>
      </c>
      <c r="E10" s="304">
        <v>12.71</v>
      </c>
      <c r="F10" s="304">
        <v>39.229999999999997</v>
      </c>
    </row>
    <row r="11" spans="1:6" ht="12" customHeight="1" x14ac:dyDescent="0.25">
      <c r="A11" s="295" t="s">
        <v>730</v>
      </c>
      <c r="B11" s="291">
        <v>12.31</v>
      </c>
      <c r="C11" s="291">
        <v>12.85</v>
      </c>
      <c r="D11" s="291">
        <v>13.87</v>
      </c>
      <c r="E11" s="291">
        <v>12.67</v>
      </c>
      <c r="F11" s="291">
        <v>39.07</v>
      </c>
    </row>
    <row r="12" spans="1:6" ht="12" customHeight="1" x14ac:dyDescent="0.25">
      <c r="A12" s="303" t="s">
        <v>248</v>
      </c>
      <c r="B12" s="304">
        <v>12.34</v>
      </c>
      <c r="C12" s="304">
        <v>12.88</v>
      </c>
      <c r="D12" s="304">
        <v>13.91</v>
      </c>
      <c r="E12" s="304">
        <v>12.67</v>
      </c>
      <c r="F12" s="304">
        <v>38.72</v>
      </c>
    </row>
    <row r="13" spans="1:6" ht="12" customHeight="1" x14ac:dyDescent="0.25">
      <c r="A13" s="295" t="s">
        <v>249</v>
      </c>
      <c r="B13" s="291">
        <v>12.31</v>
      </c>
      <c r="C13" s="291">
        <v>12.84</v>
      </c>
      <c r="D13" s="291">
        <v>13.86</v>
      </c>
      <c r="E13" s="291">
        <v>12.67</v>
      </c>
      <c r="F13" s="291">
        <v>38.479999999999997</v>
      </c>
    </row>
    <row r="14" spans="1:6" ht="12" customHeight="1" x14ac:dyDescent="0.25">
      <c r="A14" s="303" t="s">
        <v>250</v>
      </c>
      <c r="B14" s="304">
        <v>12.12</v>
      </c>
      <c r="C14" s="304">
        <v>12.63</v>
      </c>
      <c r="D14" s="304">
        <v>13.65</v>
      </c>
      <c r="E14" s="304">
        <v>12.67</v>
      </c>
      <c r="F14" s="304">
        <v>37.51</v>
      </c>
    </row>
    <row r="16" spans="1:6" x14ac:dyDescent="0.25">
      <c r="A16" s="228" t="s">
        <v>742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L1" sqref="L1:L1048576"/>
    </sheetView>
  </sheetViews>
  <sheetFormatPr baseColWidth="10" defaultRowHeight="15" x14ac:dyDescent="0.25"/>
  <cols>
    <col min="6" max="6" width="13.28515625" customWidth="1"/>
  </cols>
  <sheetData>
    <row r="1" spans="1:6" ht="14.25" customHeight="1" x14ac:dyDescent="0.25">
      <c r="A1" s="438">
        <v>2019</v>
      </c>
      <c r="B1" s="438" t="s">
        <v>719</v>
      </c>
      <c r="C1" s="438"/>
      <c r="D1" s="438"/>
      <c r="E1" s="438" t="s">
        <v>550</v>
      </c>
      <c r="F1" s="254" t="s">
        <v>584</v>
      </c>
    </row>
    <row r="2" spans="1:6" ht="14.25" customHeight="1" x14ac:dyDescent="0.25">
      <c r="A2" s="438"/>
      <c r="B2" s="256" t="s">
        <v>732</v>
      </c>
      <c r="C2" s="256" t="s">
        <v>733</v>
      </c>
      <c r="D2" s="256" t="s">
        <v>725</v>
      </c>
      <c r="E2" s="438"/>
      <c r="F2" s="256" t="s">
        <v>737</v>
      </c>
    </row>
    <row r="3" spans="1:6" ht="14.25" customHeight="1" x14ac:dyDescent="0.25">
      <c r="A3" s="295" t="s">
        <v>239</v>
      </c>
      <c r="B3" s="291">
        <v>12.65</v>
      </c>
      <c r="C3" s="291">
        <v>13.55</v>
      </c>
      <c r="D3" s="291">
        <v>14.54</v>
      </c>
      <c r="E3" s="291">
        <v>13.24</v>
      </c>
      <c r="F3" s="291">
        <v>40.9</v>
      </c>
    </row>
    <row r="4" spans="1:6" ht="14.25" customHeight="1" x14ac:dyDescent="0.25">
      <c r="A4" s="303" t="s">
        <v>240</v>
      </c>
      <c r="B4" s="304">
        <v>12.58</v>
      </c>
      <c r="C4" s="304">
        <v>13.49</v>
      </c>
      <c r="D4" s="304">
        <v>14.45</v>
      </c>
      <c r="E4" s="304">
        <v>13.22</v>
      </c>
      <c r="F4" s="304">
        <v>40.9</v>
      </c>
    </row>
    <row r="5" spans="1:6" ht="14.25" customHeight="1" x14ac:dyDescent="0.25">
      <c r="A5" s="295" t="s">
        <v>241</v>
      </c>
      <c r="B5" s="291">
        <v>12.49</v>
      </c>
      <c r="C5" s="291">
        <v>13.34</v>
      </c>
      <c r="D5" s="291">
        <v>14.37</v>
      </c>
      <c r="E5" s="291">
        <v>12.82</v>
      </c>
      <c r="F5" s="291">
        <v>40.75</v>
      </c>
    </row>
    <row r="6" spans="1:6" ht="14.25" customHeight="1" x14ac:dyDescent="0.25">
      <c r="A6" s="303" t="s">
        <v>242</v>
      </c>
      <c r="B6" s="304">
        <v>12.7</v>
      </c>
      <c r="C6" s="304">
        <v>13.54</v>
      </c>
      <c r="D6" s="304">
        <v>14.64</v>
      </c>
      <c r="E6" s="304">
        <v>12.72</v>
      </c>
      <c r="F6" s="304">
        <v>40.75</v>
      </c>
    </row>
    <row r="7" spans="1:6" ht="14.25" customHeight="1" x14ac:dyDescent="0.25">
      <c r="A7" s="295" t="s">
        <v>243</v>
      </c>
      <c r="B7" s="291">
        <v>12.81</v>
      </c>
      <c r="C7" s="291">
        <v>13.55</v>
      </c>
      <c r="D7" s="291">
        <v>14.62</v>
      </c>
      <c r="E7" s="291">
        <v>12.73</v>
      </c>
      <c r="F7" s="291">
        <v>40.75</v>
      </c>
    </row>
    <row r="8" spans="1:6" ht="14.25" customHeight="1" x14ac:dyDescent="0.25">
      <c r="A8" s="303" t="s">
        <v>244</v>
      </c>
      <c r="B8" s="304">
        <v>12.88</v>
      </c>
      <c r="C8" s="304">
        <v>13.54</v>
      </c>
      <c r="D8" s="304">
        <v>14.67</v>
      </c>
      <c r="E8" s="304">
        <v>12.78</v>
      </c>
      <c r="F8" s="304">
        <v>40.54</v>
      </c>
    </row>
    <row r="9" spans="1:6" ht="14.25" customHeight="1" x14ac:dyDescent="0.25">
      <c r="A9" s="295" t="s">
        <v>245</v>
      </c>
      <c r="B9" s="291">
        <v>12.92</v>
      </c>
      <c r="C9" s="291">
        <v>13.58</v>
      </c>
      <c r="D9" s="291">
        <v>14.73</v>
      </c>
      <c r="E9" s="291">
        <v>12.72</v>
      </c>
      <c r="F9" s="291">
        <v>40.39</v>
      </c>
    </row>
    <row r="10" spans="1:6" ht="14.25" customHeight="1" x14ac:dyDescent="0.25">
      <c r="A10" s="303" t="s">
        <v>246</v>
      </c>
      <c r="B10" s="304">
        <v>13.05</v>
      </c>
      <c r="C10" s="304">
        <v>13.98</v>
      </c>
      <c r="D10" s="304">
        <v>15.18</v>
      </c>
      <c r="E10" s="304">
        <v>12.71</v>
      </c>
      <c r="F10" s="304">
        <v>40.57</v>
      </c>
    </row>
    <row r="11" spans="1:6" ht="14.25" customHeight="1" x14ac:dyDescent="0.25">
      <c r="A11" s="295" t="s">
        <v>730</v>
      </c>
      <c r="B11" s="291">
        <v>13.02</v>
      </c>
      <c r="C11" s="291">
        <v>14.04</v>
      </c>
      <c r="D11" s="291">
        <v>15.12</v>
      </c>
      <c r="E11" s="291">
        <v>12.7</v>
      </c>
      <c r="F11" s="291">
        <v>40.35</v>
      </c>
    </row>
    <row r="12" spans="1:6" ht="14.25" customHeight="1" x14ac:dyDescent="0.25">
      <c r="A12" s="303" t="s">
        <v>248</v>
      </c>
      <c r="B12" s="304">
        <v>13.13</v>
      </c>
      <c r="C12" s="304">
        <v>14.08</v>
      </c>
      <c r="D12" s="304">
        <v>15.18</v>
      </c>
      <c r="E12" s="304">
        <v>12.7</v>
      </c>
      <c r="F12" s="304">
        <v>40.35</v>
      </c>
    </row>
    <row r="13" spans="1:6" ht="14.25" customHeight="1" x14ac:dyDescent="0.25">
      <c r="A13" s="295" t="s">
        <v>249</v>
      </c>
      <c r="B13" s="291">
        <v>13.17</v>
      </c>
      <c r="C13" s="291">
        <v>13.91</v>
      </c>
      <c r="D13" s="291">
        <v>14.93</v>
      </c>
      <c r="E13" s="291">
        <v>12.57</v>
      </c>
      <c r="F13" s="291">
        <v>40</v>
      </c>
    </row>
    <row r="14" spans="1:6" ht="14.25" customHeight="1" x14ac:dyDescent="0.25">
      <c r="A14" s="303" t="s">
        <v>250</v>
      </c>
      <c r="B14" s="304">
        <v>13.16</v>
      </c>
      <c r="C14" s="304">
        <v>13.75</v>
      </c>
      <c r="D14" s="304">
        <v>14.85</v>
      </c>
      <c r="E14" s="304">
        <v>12.57</v>
      </c>
      <c r="F14" s="304">
        <v>39.71</v>
      </c>
    </row>
    <row r="17" spans="1:1" x14ac:dyDescent="0.25">
      <c r="A17" s="228" t="s">
        <v>743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6" x14ac:dyDescent="0.2">
      <c r="A1" s="438">
        <v>2019</v>
      </c>
      <c r="B1" s="438" t="s">
        <v>719</v>
      </c>
      <c r="C1" s="438"/>
      <c r="D1" s="438"/>
      <c r="E1" s="438" t="s">
        <v>550</v>
      </c>
      <c r="F1" s="254" t="s">
        <v>584</v>
      </c>
    </row>
    <row r="2" spans="1:6" ht="22.5" x14ac:dyDescent="0.2">
      <c r="A2" s="438"/>
      <c r="B2" s="256" t="s">
        <v>732</v>
      </c>
      <c r="C2" s="256" t="s">
        <v>733</v>
      </c>
      <c r="D2" s="256" t="s">
        <v>725</v>
      </c>
      <c r="E2" s="438"/>
      <c r="F2" s="256" t="s">
        <v>737</v>
      </c>
    </row>
    <row r="3" spans="1:6" x14ac:dyDescent="0.2">
      <c r="A3" s="295" t="s">
        <v>239</v>
      </c>
      <c r="B3" s="291">
        <v>13</v>
      </c>
      <c r="C3" s="291">
        <v>13.54</v>
      </c>
      <c r="D3" s="291">
        <v>15.54</v>
      </c>
      <c r="E3" s="291">
        <v>13.81</v>
      </c>
      <c r="F3" s="291">
        <v>40.43</v>
      </c>
    </row>
    <row r="4" spans="1:6" x14ac:dyDescent="0.2">
      <c r="A4" s="303" t="s">
        <v>240</v>
      </c>
      <c r="B4" s="304">
        <v>12.79</v>
      </c>
      <c r="C4" s="304">
        <v>13.29</v>
      </c>
      <c r="D4" s="304">
        <v>15.28</v>
      </c>
      <c r="E4" s="304">
        <v>13.7</v>
      </c>
      <c r="F4" s="304">
        <v>40.36</v>
      </c>
    </row>
    <row r="5" spans="1:6" x14ac:dyDescent="0.2">
      <c r="A5" s="295" t="s">
        <v>241</v>
      </c>
      <c r="B5" s="291">
        <v>12.78</v>
      </c>
      <c r="C5" s="291">
        <v>13.37</v>
      </c>
      <c r="D5" s="291">
        <v>15.32</v>
      </c>
      <c r="E5" s="291">
        <v>13.31</v>
      </c>
      <c r="F5" s="291">
        <v>40.28</v>
      </c>
    </row>
    <row r="6" spans="1:6" x14ac:dyDescent="0.2">
      <c r="A6" s="303" t="s">
        <v>242</v>
      </c>
      <c r="B6" s="304">
        <v>13.19</v>
      </c>
      <c r="C6" s="304">
        <v>13.92</v>
      </c>
      <c r="D6" s="304">
        <v>15.81</v>
      </c>
      <c r="E6" s="304">
        <v>13.22</v>
      </c>
      <c r="F6" s="304">
        <v>40.29</v>
      </c>
    </row>
    <row r="7" spans="1:6" x14ac:dyDescent="0.2">
      <c r="A7" s="295" t="s">
        <v>243</v>
      </c>
      <c r="B7" s="291">
        <v>13.41</v>
      </c>
      <c r="C7" s="291">
        <v>14.31</v>
      </c>
      <c r="D7" s="291">
        <v>16.329999999999998</v>
      </c>
      <c r="E7" s="291">
        <v>13.3</v>
      </c>
      <c r="F7" s="291">
        <v>40.25</v>
      </c>
    </row>
    <row r="8" spans="1:6" x14ac:dyDescent="0.2">
      <c r="A8" s="303" t="s">
        <v>244</v>
      </c>
      <c r="B8" s="304">
        <v>13.38</v>
      </c>
      <c r="C8" s="304">
        <v>14.3</v>
      </c>
      <c r="D8" s="304">
        <v>16.23</v>
      </c>
      <c r="E8" s="304">
        <v>13.38</v>
      </c>
      <c r="F8" s="304">
        <v>39.97</v>
      </c>
    </row>
    <row r="9" spans="1:6" x14ac:dyDescent="0.2">
      <c r="A9" s="295" t="s">
        <v>245</v>
      </c>
      <c r="B9" s="291">
        <v>13.47</v>
      </c>
      <c r="C9" s="291">
        <v>14.39</v>
      </c>
      <c r="D9" s="291">
        <v>16.28</v>
      </c>
      <c r="E9" s="291">
        <v>13.3</v>
      </c>
      <c r="F9" s="291">
        <v>38.6</v>
      </c>
    </row>
    <row r="10" spans="1:6" x14ac:dyDescent="0.2">
      <c r="A10" s="303" t="s">
        <v>246</v>
      </c>
      <c r="B10" s="304">
        <v>13.58</v>
      </c>
      <c r="C10" s="304">
        <v>14.46</v>
      </c>
      <c r="D10" s="304">
        <v>16.34</v>
      </c>
      <c r="E10" s="304">
        <v>13.27</v>
      </c>
      <c r="F10" s="304">
        <v>38.6</v>
      </c>
    </row>
    <row r="11" spans="1:6" x14ac:dyDescent="0.2">
      <c r="A11" s="295" t="s">
        <v>730</v>
      </c>
      <c r="B11" s="291">
        <v>13.51</v>
      </c>
      <c r="C11" s="291">
        <v>14.4</v>
      </c>
      <c r="D11" s="291">
        <v>16.239999999999998</v>
      </c>
      <c r="E11" s="291">
        <v>13.24</v>
      </c>
      <c r="F11" s="291">
        <v>38.49</v>
      </c>
    </row>
    <row r="12" spans="1:6" x14ac:dyDescent="0.2">
      <c r="A12" s="303" t="s">
        <v>248</v>
      </c>
      <c r="B12" s="304">
        <v>13.48</v>
      </c>
      <c r="C12" s="304">
        <v>14.43</v>
      </c>
      <c r="D12" s="304">
        <v>16.190000000000001</v>
      </c>
      <c r="E12" s="304">
        <v>13.23</v>
      </c>
      <c r="F12" s="304">
        <v>38.42</v>
      </c>
    </row>
    <row r="13" spans="1:6" x14ac:dyDescent="0.2">
      <c r="A13" s="295" t="s">
        <v>249</v>
      </c>
      <c r="B13" s="291">
        <v>13.48</v>
      </c>
      <c r="C13" s="291">
        <v>14.42</v>
      </c>
      <c r="D13" s="291">
        <v>16.190000000000001</v>
      </c>
      <c r="E13" s="291">
        <v>13.22</v>
      </c>
      <c r="F13" s="291">
        <v>38.42</v>
      </c>
    </row>
    <row r="14" spans="1:6" x14ac:dyDescent="0.2">
      <c r="A14" s="303" t="s">
        <v>250</v>
      </c>
      <c r="B14" s="304">
        <v>13.42</v>
      </c>
      <c r="C14" s="304">
        <v>14.3</v>
      </c>
      <c r="D14" s="304">
        <v>16.04</v>
      </c>
      <c r="E14" s="304">
        <v>13.29</v>
      </c>
      <c r="F14" s="304">
        <v>38.42</v>
      </c>
    </row>
    <row r="17" spans="1:1" x14ac:dyDescent="0.2">
      <c r="A17" s="305" t="s">
        <v>744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5" x14ac:dyDescent="0.2">
      <c r="A1" s="438">
        <v>2019</v>
      </c>
      <c r="B1" s="438" t="s">
        <v>719</v>
      </c>
      <c r="C1" s="438"/>
      <c r="D1" s="438" t="s">
        <v>550</v>
      </c>
      <c r="E1" s="254" t="s">
        <v>584</v>
      </c>
    </row>
    <row r="2" spans="1:5" ht="22.5" x14ac:dyDescent="0.2">
      <c r="A2" s="438"/>
      <c r="B2" s="256" t="s">
        <v>732</v>
      </c>
      <c r="C2" s="256" t="s">
        <v>724</v>
      </c>
      <c r="D2" s="438"/>
      <c r="E2" s="256" t="s">
        <v>737</v>
      </c>
    </row>
    <row r="3" spans="1:5" x14ac:dyDescent="0.2">
      <c r="A3" s="295" t="s">
        <v>239</v>
      </c>
      <c r="B3" s="291">
        <v>12.89</v>
      </c>
      <c r="C3" s="291">
        <v>13.97</v>
      </c>
      <c r="D3" s="291">
        <v>13.44</v>
      </c>
      <c r="E3" s="291">
        <v>37.659999999999997</v>
      </c>
    </row>
    <row r="4" spans="1:5" x14ac:dyDescent="0.2">
      <c r="A4" s="303" t="s">
        <v>240</v>
      </c>
      <c r="B4" s="304">
        <v>12.88</v>
      </c>
      <c r="C4" s="304">
        <v>13.97</v>
      </c>
      <c r="D4" s="304">
        <v>13.36</v>
      </c>
      <c r="E4" s="304">
        <v>37.74</v>
      </c>
    </row>
    <row r="5" spans="1:5" x14ac:dyDescent="0.2">
      <c r="A5" s="295" t="s">
        <v>241</v>
      </c>
      <c r="B5" s="291">
        <v>12.75</v>
      </c>
      <c r="C5" s="291">
        <v>13.91</v>
      </c>
      <c r="D5" s="291">
        <v>13.08</v>
      </c>
      <c r="E5" s="291">
        <v>37.74</v>
      </c>
    </row>
    <row r="6" spans="1:5" x14ac:dyDescent="0.2">
      <c r="A6" s="303" t="s">
        <v>242</v>
      </c>
      <c r="B6" s="304">
        <v>12.77</v>
      </c>
      <c r="C6" s="304">
        <v>13.97</v>
      </c>
      <c r="D6" s="304">
        <v>12.99</v>
      </c>
      <c r="E6" s="304">
        <v>37.57</v>
      </c>
    </row>
    <row r="7" spans="1:5" x14ac:dyDescent="0.2">
      <c r="A7" s="295" t="s">
        <v>243</v>
      </c>
      <c r="B7" s="291">
        <v>12.88</v>
      </c>
      <c r="C7" s="291">
        <v>14.11</v>
      </c>
      <c r="D7" s="291">
        <v>13.13</v>
      </c>
      <c r="E7" s="291">
        <v>37.57</v>
      </c>
    </row>
    <row r="8" spans="1:5" x14ac:dyDescent="0.2">
      <c r="A8" s="303" t="s">
        <v>244</v>
      </c>
      <c r="B8" s="304">
        <v>12.88</v>
      </c>
      <c r="C8" s="304">
        <v>14.11</v>
      </c>
      <c r="D8" s="304">
        <v>13.02</v>
      </c>
      <c r="E8" s="304">
        <v>37.57</v>
      </c>
    </row>
    <row r="9" spans="1:5" x14ac:dyDescent="0.2">
      <c r="A9" s="295" t="s">
        <v>245</v>
      </c>
      <c r="B9" s="291">
        <v>12.78</v>
      </c>
      <c r="C9" s="291">
        <v>14</v>
      </c>
      <c r="D9" s="291">
        <v>12.86</v>
      </c>
      <c r="E9" s="291">
        <v>37.49</v>
      </c>
    </row>
    <row r="10" spans="1:5" x14ac:dyDescent="0.2">
      <c r="A10" s="303" t="s">
        <v>246</v>
      </c>
      <c r="B10" s="304">
        <v>13.5</v>
      </c>
      <c r="C10" s="304">
        <v>14.72</v>
      </c>
      <c r="D10" s="304">
        <v>13.04</v>
      </c>
      <c r="E10" s="304">
        <v>37.57</v>
      </c>
    </row>
    <row r="11" spans="1:5" x14ac:dyDescent="0.2">
      <c r="A11" s="295" t="s">
        <v>730</v>
      </c>
      <c r="B11" s="291">
        <v>13.47</v>
      </c>
      <c r="C11" s="291">
        <v>14.73</v>
      </c>
      <c r="D11" s="291">
        <v>12.97</v>
      </c>
      <c r="E11" s="291">
        <v>37.57</v>
      </c>
    </row>
    <row r="12" spans="1:5" x14ac:dyDescent="0.2">
      <c r="A12" s="303" t="s">
        <v>248</v>
      </c>
      <c r="B12" s="304">
        <v>13.49</v>
      </c>
      <c r="C12" s="304">
        <v>14.68</v>
      </c>
      <c r="D12" s="304">
        <v>12.99</v>
      </c>
      <c r="E12" s="304">
        <v>37.57</v>
      </c>
    </row>
    <row r="13" spans="1:5" x14ac:dyDescent="0.2">
      <c r="A13" s="295" t="s">
        <v>249</v>
      </c>
      <c r="B13" s="291">
        <v>13.49</v>
      </c>
      <c r="C13" s="291">
        <v>14.67</v>
      </c>
      <c r="D13" s="291">
        <v>12.99</v>
      </c>
      <c r="E13" s="291">
        <v>37.57</v>
      </c>
    </row>
    <row r="14" spans="1:5" x14ac:dyDescent="0.2">
      <c r="A14" s="303" t="s">
        <v>250</v>
      </c>
      <c r="B14" s="304">
        <v>13.45</v>
      </c>
      <c r="C14" s="304">
        <v>14.63</v>
      </c>
      <c r="D14" s="304">
        <v>12.99</v>
      </c>
      <c r="E14" s="304">
        <v>37.57</v>
      </c>
    </row>
    <row r="16" spans="1:5" x14ac:dyDescent="0.2">
      <c r="A16" s="305" t="s">
        <v>745</v>
      </c>
    </row>
  </sheetData>
  <mergeCells count="3">
    <mergeCell ref="A1:A2"/>
    <mergeCell ref="B1:C1"/>
    <mergeCell ref="D1:D2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6" x14ac:dyDescent="0.2">
      <c r="A1" s="438">
        <v>2019</v>
      </c>
      <c r="B1" s="438" t="s">
        <v>719</v>
      </c>
      <c r="C1" s="438"/>
      <c r="D1" s="438"/>
      <c r="E1" s="438" t="s">
        <v>550</v>
      </c>
      <c r="F1" s="254" t="s">
        <v>584</v>
      </c>
    </row>
    <row r="2" spans="1:6" ht="22.5" x14ac:dyDescent="0.2">
      <c r="A2" s="438"/>
      <c r="B2" s="256" t="s">
        <v>732</v>
      </c>
      <c r="C2" s="256" t="s">
        <v>733</v>
      </c>
      <c r="D2" s="256" t="s">
        <v>725</v>
      </c>
      <c r="E2" s="438"/>
      <c r="F2" s="256" t="s">
        <v>737</v>
      </c>
    </row>
    <row r="3" spans="1:6" x14ac:dyDescent="0.2">
      <c r="A3" s="295" t="s">
        <v>239</v>
      </c>
      <c r="B3" s="291">
        <v>12.78</v>
      </c>
      <c r="C3" s="291" t="s">
        <v>159</v>
      </c>
      <c r="D3" s="57">
        <v>14.29</v>
      </c>
      <c r="E3" s="291">
        <v>13.1</v>
      </c>
      <c r="F3" s="291">
        <v>36.57</v>
      </c>
    </row>
    <row r="4" spans="1:6" x14ac:dyDescent="0.2">
      <c r="A4" s="303" t="s">
        <v>240</v>
      </c>
      <c r="B4" s="304">
        <v>12.62</v>
      </c>
      <c r="C4" s="304" t="s">
        <v>159</v>
      </c>
      <c r="D4" s="57">
        <v>14.09</v>
      </c>
      <c r="E4" s="304">
        <v>13.12</v>
      </c>
      <c r="F4" s="304">
        <v>36.479999999999997</v>
      </c>
    </row>
    <row r="5" spans="1:6" x14ac:dyDescent="0.2">
      <c r="A5" s="295" t="s">
        <v>241</v>
      </c>
      <c r="B5" s="291">
        <v>12.47</v>
      </c>
      <c r="C5" s="291" t="s">
        <v>159</v>
      </c>
      <c r="D5" s="57">
        <v>13.76</v>
      </c>
      <c r="E5" s="291">
        <v>12.67</v>
      </c>
      <c r="F5" s="291">
        <v>36.65</v>
      </c>
    </row>
    <row r="6" spans="1:6" x14ac:dyDescent="0.2">
      <c r="A6" s="303" t="s">
        <v>242</v>
      </c>
      <c r="B6" s="304">
        <v>12.7</v>
      </c>
      <c r="C6" s="304">
        <v>13.14</v>
      </c>
      <c r="D6" s="57">
        <v>14.06</v>
      </c>
      <c r="E6" s="304">
        <v>12.41</v>
      </c>
      <c r="F6" s="304">
        <v>36.31</v>
      </c>
    </row>
    <row r="7" spans="1:6" x14ac:dyDescent="0.2">
      <c r="A7" s="295" t="s">
        <v>243</v>
      </c>
      <c r="B7" s="291">
        <v>13.01</v>
      </c>
      <c r="C7" s="291">
        <v>13.38</v>
      </c>
      <c r="D7" s="57">
        <v>14.56</v>
      </c>
      <c r="E7" s="291">
        <v>12.51</v>
      </c>
      <c r="F7" s="291">
        <v>36.31</v>
      </c>
    </row>
    <row r="8" spans="1:6" x14ac:dyDescent="0.2">
      <c r="A8" s="303" t="s">
        <v>244</v>
      </c>
      <c r="B8" s="304">
        <v>13.02</v>
      </c>
      <c r="C8" s="304">
        <v>13.46</v>
      </c>
      <c r="D8" s="57">
        <v>14.61</v>
      </c>
      <c r="E8" s="304">
        <v>12.62</v>
      </c>
      <c r="F8" s="304">
        <v>36.31</v>
      </c>
    </row>
    <row r="9" spans="1:6" x14ac:dyDescent="0.2">
      <c r="A9" s="295" t="s">
        <v>245</v>
      </c>
      <c r="B9" s="291">
        <v>13.21</v>
      </c>
      <c r="C9" s="291">
        <v>13.73</v>
      </c>
      <c r="D9" s="57">
        <v>14.71</v>
      </c>
      <c r="E9" s="291">
        <v>12.67</v>
      </c>
      <c r="F9" s="291">
        <v>36.31</v>
      </c>
    </row>
    <row r="10" spans="1:6" x14ac:dyDescent="0.2">
      <c r="A10" s="303" t="s">
        <v>246</v>
      </c>
      <c r="B10" s="304">
        <v>13.79</v>
      </c>
      <c r="C10" s="304">
        <v>14.34</v>
      </c>
      <c r="D10" s="57">
        <v>15.2</v>
      </c>
      <c r="E10" s="304">
        <v>12.75</v>
      </c>
      <c r="F10" s="304">
        <v>36.22</v>
      </c>
    </row>
    <row r="11" spans="1:6" x14ac:dyDescent="0.2">
      <c r="A11" s="295" t="s">
        <v>730</v>
      </c>
      <c r="B11" s="291">
        <v>13.73</v>
      </c>
      <c r="C11" s="291">
        <v>14.28</v>
      </c>
      <c r="D11" s="57">
        <v>15.19</v>
      </c>
      <c r="E11" s="291">
        <v>12.65</v>
      </c>
      <c r="F11" s="291">
        <v>36.22</v>
      </c>
    </row>
    <row r="12" spans="1:6" x14ac:dyDescent="0.2">
      <c r="A12" s="303" t="s">
        <v>248</v>
      </c>
      <c r="B12" s="304">
        <v>13.54</v>
      </c>
      <c r="C12" s="304">
        <v>13.9</v>
      </c>
      <c r="D12" s="57">
        <v>14.72</v>
      </c>
      <c r="E12" s="304">
        <v>12.48</v>
      </c>
      <c r="F12" s="304">
        <v>36.22</v>
      </c>
    </row>
    <row r="13" spans="1:6" x14ac:dyDescent="0.2">
      <c r="A13" s="295" t="s">
        <v>249</v>
      </c>
      <c r="B13" s="291">
        <v>13.39</v>
      </c>
      <c r="C13" s="291">
        <v>13.62</v>
      </c>
      <c r="D13" s="57">
        <v>14.23</v>
      </c>
      <c r="E13" s="291">
        <v>12.3</v>
      </c>
      <c r="F13" s="291">
        <v>36.22</v>
      </c>
    </row>
    <row r="14" spans="1:6" x14ac:dyDescent="0.2">
      <c r="A14" s="303" t="s">
        <v>250</v>
      </c>
      <c r="B14" s="304">
        <v>13.23</v>
      </c>
      <c r="C14" s="304">
        <v>13.41</v>
      </c>
      <c r="D14" s="57">
        <v>13.97</v>
      </c>
      <c r="E14" s="304">
        <v>12.29</v>
      </c>
      <c r="F14" s="304">
        <v>36.22</v>
      </c>
    </row>
    <row r="17" spans="1:1" x14ac:dyDescent="0.2">
      <c r="A17" s="305" t="s">
        <v>746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L1" sqref="L1:L1048576"/>
    </sheetView>
  </sheetViews>
  <sheetFormatPr baseColWidth="10" defaultRowHeight="11.25" x14ac:dyDescent="0.2"/>
  <cols>
    <col min="1" max="16384" width="11.42578125" style="57"/>
  </cols>
  <sheetData>
    <row r="1" spans="1:6" x14ac:dyDescent="0.2">
      <c r="A1" s="438">
        <v>2019</v>
      </c>
      <c r="B1" s="438" t="s">
        <v>719</v>
      </c>
      <c r="C1" s="438"/>
      <c r="D1" s="438"/>
      <c r="E1" s="438" t="s">
        <v>550</v>
      </c>
      <c r="F1" s="254" t="s">
        <v>584</v>
      </c>
    </row>
    <row r="2" spans="1:6" ht="22.5" x14ac:dyDescent="0.2">
      <c r="A2" s="438"/>
      <c r="B2" s="256" t="s">
        <v>732</v>
      </c>
      <c r="C2" s="256" t="s">
        <v>733</v>
      </c>
      <c r="D2" s="256" t="s">
        <v>725</v>
      </c>
      <c r="E2" s="438"/>
      <c r="F2" s="256" t="s">
        <v>737</v>
      </c>
    </row>
    <row r="3" spans="1:6" x14ac:dyDescent="0.2">
      <c r="A3" s="295" t="s">
        <v>239</v>
      </c>
      <c r="B3" s="291">
        <v>12.05</v>
      </c>
      <c r="C3" s="291">
        <v>12.65</v>
      </c>
      <c r="D3" s="291">
        <v>14.38</v>
      </c>
      <c r="E3" s="291">
        <v>13.07</v>
      </c>
      <c r="F3" s="291">
        <v>39.19</v>
      </c>
    </row>
    <row r="4" spans="1:6" x14ac:dyDescent="0.2">
      <c r="A4" s="303" t="s">
        <v>240</v>
      </c>
      <c r="B4" s="304">
        <v>11.77</v>
      </c>
      <c r="C4" s="304">
        <v>12.32</v>
      </c>
      <c r="D4" s="304">
        <v>14.18</v>
      </c>
      <c r="E4" s="304">
        <v>12.99</v>
      </c>
      <c r="F4" s="304">
        <v>39.21</v>
      </c>
    </row>
    <row r="5" spans="1:6" x14ac:dyDescent="0.2">
      <c r="A5" s="295" t="s">
        <v>241</v>
      </c>
      <c r="B5" s="291">
        <v>11.74</v>
      </c>
      <c r="C5" s="291">
        <v>12.22</v>
      </c>
      <c r="D5" s="291">
        <v>14.14</v>
      </c>
      <c r="E5" s="291">
        <v>12.55</v>
      </c>
      <c r="F5" s="291">
        <v>39.21</v>
      </c>
    </row>
    <row r="6" spans="1:6" x14ac:dyDescent="0.2">
      <c r="A6" s="303" t="s">
        <v>242</v>
      </c>
      <c r="B6" s="304">
        <v>12.08</v>
      </c>
      <c r="C6" s="304">
        <v>12.63</v>
      </c>
      <c r="D6" s="304">
        <v>14.51</v>
      </c>
      <c r="E6" s="304">
        <v>12.46</v>
      </c>
      <c r="F6" s="304">
        <v>38.14</v>
      </c>
    </row>
    <row r="7" spans="1:6" x14ac:dyDescent="0.2">
      <c r="A7" s="295" t="s">
        <v>243</v>
      </c>
      <c r="B7" s="291">
        <v>12.29</v>
      </c>
      <c r="C7" s="291">
        <v>12.95</v>
      </c>
      <c r="D7" s="291">
        <v>14.82</v>
      </c>
      <c r="E7" s="291">
        <v>12.54</v>
      </c>
      <c r="F7" s="291">
        <v>38.04</v>
      </c>
    </row>
    <row r="8" spans="1:6" x14ac:dyDescent="0.2">
      <c r="A8" s="303" t="s">
        <v>244</v>
      </c>
      <c r="B8" s="304">
        <v>12.28</v>
      </c>
      <c r="C8" s="304">
        <v>12.95</v>
      </c>
      <c r="D8" s="304">
        <v>14.83</v>
      </c>
      <c r="E8" s="304">
        <v>12.64</v>
      </c>
      <c r="F8" s="304">
        <v>38.520000000000003</v>
      </c>
    </row>
    <row r="9" spans="1:6" x14ac:dyDescent="0.2">
      <c r="A9" s="295" t="s">
        <v>245</v>
      </c>
      <c r="B9" s="291">
        <v>12.42</v>
      </c>
      <c r="C9" s="291">
        <v>13.06</v>
      </c>
      <c r="D9" s="291">
        <v>14.93</v>
      </c>
      <c r="E9" s="291">
        <v>12.59</v>
      </c>
      <c r="F9" s="291">
        <v>38.22</v>
      </c>
    </row>
    <row r="10" spans="1:6" x14ac:dyDescent="0.2">
      <c r="A10" s="303" t="s">
        <v>246</v>
      </c>
      <c r="B10" s="304">
        <v>12.58</v>
      </c>
      <c r="C10" s="304">
        <v>13.25</v>
      </c>
      <c r="D10" s="304">
        <v>15.27</v>
      </c>
      <c r="E10" s="304">
        <v>12.54</v>
      </c>
      <c r="F10" s="304">
        <v>37.65</v>
      </c>
    </row>
    <row r="11" spans="1:6" x14ac:dyDescent="0.2">
      <c r="A11" s="295" t="s">
        <v>730</v>
      </c>
      <c r="B11" s="291">
        <v>12.52</v>
      </c>
      <c r="C11" s="291">
        <v>13.15</v>
      </c>
      <c r="D11" s="291">
        <v>15.18</v>
      </c>
      <c r="E11" s="291">
        <v>12.52</v>
      </c>
      <c r="F11" s="291">
        <v>37.700000000000003</v>
      </c>
    </row>
    <row r="12" spans="1:6" x14ac:dyDescent="0.2">
      <c r="A12" s="303" t="s">
        <v>248</v>
      </c>
      <c r="B12" s="304">
        <v>12.52</v>
      </c>
      <c r="C12" s="304">
        <v>13.2</v>
      </c>
      <c r="D12" s="304">
        <v>15.21</v>
      </c>
      <c r="E12" s="304">
        <v>12.51</v>
      </c>
      <c r="F12" s="304">
        <v>37.96</v>
      </c>
    </row>
    <row r="13" spans="1:6" x14ac:dyDescent="0.2">
      <c r="A13" s="295" t="s">
        <v>249</v>
      </c>
      <c r="B13" s="291">
        <v>12.63</v>
      </c>
      <c r="C13" s="291">
        <v>13.15</v>
      </c>
      <c r="D13" s="291">
        <v>15.2</v>
      </c>
      <c r="E13" s="291">
        <v>12.48</v>
      </c>
      <c r="F13" s="291">
        <v>37.85</v>
      </c>
    </row>
    <row r="14" spans="1:6" x14ac:dyDescent="0.2">
      <c r="A14" s="303" t="s">
        <v>250</v>
      </c>
      <c r="B14" s="304">
        <v>12.54</v>
      </c>
      <c r="C14" s="304">
        <v>13.09</v>
      </c>
      <c r="D14" s="304">
        <v>15.14</v>
      </c>
      <c r="E14" s="304">
        <v>12.54</v>
      </c>
      <c r="F14" s="304">
        <v>37.340000000000003</v>
      </c>
    </row>
    <row r="17" spans="1:1" x14ac:dyDescent="0.2">
      <c r="A17" s="305" t="s">
        <v>747</v>
      </c>
    </row>
  </sheetData>
  <mergeCells count="3">
    <mergeCell ref="A1:A2"/>
    <mergeCell ref="B1:D1"/>
    <mergeCell ref="E1:E2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activeCell="L1" sqref="L1:L1048576"/>
    </sheetView>
  </sheetViews>
  <sheetFormatPr baseColWidth="10" defaultColWidth="12.85546875" defaultRowHeight="11.25" x14ac:dyDescent="0.2"/>
  <cols>
    <col min="1" max="1" width="16.85546875" style="57" customWidth="1"/>
    <col min="2" max="16384" width="12.85546875" style="57"/>
  </cols>
  <sheetData>
    <row r="1" spans="1:6" ht="15" customHeight="1" x14ac:dyDescent="0.2">
      <c r="A1" s="439" t="s">
        <v>748</v>
      </c>
      <c r="B1" s="439"/>
      <c r="C1" s="439"/>
      <c r="D1" s="439"/>
      <c r="E1" s="439"/>
      <c r="F1" s="439"/>
    </row>
    <row r="2" spans="1:6" x14ac:dyDescent="0.2">
      <c r="A2" s="254" t="s">
        <v>627</v>
      </c>
      <c r="B2" s="308">
        <v>2015</v>
      </c>
      <c r="C2" s="308">
        <v>2016</v>
      </c>
      <c r="D2" s="308">
        <v>2017</v>
      </c>
      <c r="E2" s="308">
        <v>2018</v>
      </c>
      <c r="F2" s="308">
        <v>2019</v>
      </c>
    </row>
    <row r="3" spans="1:6" x14ac:dyDescent="0.2">
      <c r="A3" s="241" t="s">
        <v>749</v>
      </c>
      <c r="B3" s="309">
        <v>2906.62577543</v>
      </c>
      <c r="C3" s="309">
        <v>845.25242036999998</v>
      </c>
      <c r="D3" s="309">
        <v>572.5834678199999</v>
      </c>
      <c r="E3" s="309">
        <v>2367.2338010399999</v>
      </c>
      <c r="F3" s="309">
        <v>2071.6806900000001</v>
      </c>
    </row>
    <row r="4" spans="1:6" x14ac:dyDescent="0.2">
      <c r="A4" s="310" t="s">
        <v>360</v>
      </c>
      <c r="B4" s="311">
        <v>50898.884280329992</v>
      </c>
      <c r="C4" s="311">
        <v>60314.939718669993</v>
      </c>
      <c r="D4" s="311">
        <v>51808.680523565345</v>
      </c>
      <c r="E4" s="311">
        <v>51399.357709999997</v>
      </c>
      <c r="F4" s="311">
        <v>54715.3891</v>
      </c>
    </row>
    <row r="5" spans="1:6" ht="13.5" customHeight="1" x14ac:dyDescent="0.2">
      <c r="A5" s="241" t="s">
        <v>750</v>
      </c>
      <c r="B5" s="309">
        <v>1075.66783246</v>
      </c>
      <c r="C5" s="309">
        <v>1460.97154454</v>
      </c>
      <c r="D5" s="309">
        <v>607.96582131485241</v>
      </c>
      <c r="E5" s="309">
        <v>66.169367705094345</v>
      </c>
      <c r="F5" s="309">
        <v>0</v>
      </c>
    </row>
    <row r="6" spans="1:6" x14ac:dyDescent="0.2">
      <c r="A6" s="310" t="s">
        <v>751</v>
      </c>
      <c r="B6" s="311">
        <v>16707.74086319</v>
      </c>
      <c r="C6" s="311">
        <v>18678.917385739998</v>
      </c>
      <c r="D6" s="311">
        <v>19961.242156737339</v>
      </c>
      <c r="E6" s="311">
        <v>17803.355744929999</v>
      </c>
      <c r="F6" s="311">
        <v>15691.549630000001</v>
      </c>
    </row>
    <row r="7" spans="1:6" ht="12.75" customHeight="1" x14ac:dyDescent="0.2">
      <c r="A7" s="241" t="s">
        <v>634</v>
      </c>
      <c r="B7" s="309">
        <v>5843.2858983000015</v>
      </c>
      <c r="C7" s="309">
        <v>7606.3455707452658</v>
      </c>
      <c r="D7" s="309">
        <v>9054.4881776435159</v>
      </c>
      <c r="E7" s="309">
        <v>9190.9540742559111</v>
      </c>
      <c r="F7" s="309">
        <v>7790.5268762799988</v>
      </c>
    </row>
    <row r="8" spans="1:6" ht="15" customHeight="1" x14ac:dyDescent="0.2">
      <c r="A8" s="310" t="s">
        <v>752</v>
      </c>
      <c r="B8" s="311">
        <v>9814.3024356599999</v>
      </c>
      <c r="C8" s="311">
        <v>12134.309995242867</v>
      </c>
      <c r="D8" s="311">
        <v>16837.860044230871</v>
      </c>
      <c r="E8" s="311">
        <v>16696.251479999999</v>
      </c>
      <c r="F8" s="311">
        <v>13122.746239999999</v>
      </c>
    </row>
    <row r="9" spans="1:6" x14ac:dyDescent="0.2">
      <c r="A9" s="241" t="s">
        <v>595</v>
      </c>
      <c r="B9" s="309">
        <v>223.20387048000003</v>
      </c>
      <c r="C9" s="309">
        <v>111.52803432345961</v>
      </c>
      <c r="D9" s="309">
        <v>74.379248054086716</v>
      </c>
      <c r="E9" s="309">
        <v>90.291920616441146</v>
      </c>
      <c r="F9" s="309">
        <v>96.564067572607726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W43"/>
  <sheetViews>
    <sheetView workbookViewId="0">
      <selection activeCell="D13" sqref="D13:D22"/>
    </sheetView>
  </sheetViews>
  <sheetFormatPr baseColWidth="10" defaultRowHeight="15" x14ac:dyDescent="0.25"/>
  <cols>
    <col min="1" max="1" width="9.5703125" style="28" customWidth="1"/>
    <col min="2" max="2" width="39.7109375" style="20" customWidth="1"/>
    <col min="3" max="3" width="10.42578125" style="15" customWidth="1"/>
    <col min="4" max="4" width="9.5703125" style="15" customWidth="1"/>
    <col min="5" max="5" width="10.28515625" style="15" customWidth="1"/>
    <col min="6" max="6" width="9.5703125" style="15" customWidth="1"/>
    <col min="7" max="153" width="11.42578125" style="119"/>
  </cols>
  <sheetData>
    <row r="1" spans="1:153" s="25" customFormat="1" ht="14.45" customHeight="1" x14ac:dyDescent="0.25">
      <c r="A1" s="355" t="s">
        <v>71</v>
      </c>
      <c r="B1" s="355"/>
      <c r="C1" s="355"/>
      <c r="D1" s="355"/>
      <c r="E1" s="355"/>
      <c r="F1" s="355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</row>
    <row r="2" spans="1:153" s="25" customFormat="1" ht="14.45" customHeight="1" x14ac:dyDescent="0.25">
      <c r="A2" s="355" t="s">
        <v>418</v>
      </c>
      <c r="B2" s="355"/>
      <c r="C2" s="355"/>
      <c r="D2" s="355"/>
      <c r="E2" s="355"/>
      <c r="F2" s="35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</row>
    <row r="3" spans="1:153" s="25" customFormat="1" ht="14.45" customHeight="1" x14ac:dyDescent="0.25">
      <c r="A3" s="356" t="s">
        <v>2</v>
      </c>
      <c r="B3" s="356" t="s">
        <v>72</v>
      </c>
      <c r="C3" s="16" t="s">
        <v>73</v>
      </c>
      <c r="D3" s="16" t="s">
        <v>74</v>
      </c>
      <c r="E3" s="16" t="s">
        <v>74</v>
      </c>
      <c r="F3" s="16" t="s">
        <v>75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</row>
    <row r="4" spans="1:153" s="25" customFormat="1" ht="14.45" customHeight="1" x14ac:dyDescent="0.25">
      <c r="A4" s="356"/>
      <c r="B4" s="356"/>
      <c r="C4" s="37" t="s">
        <v>76</v>
      </c>
      <c r="D4" s="37" t="s">
        <v>77</v>
      </c>
      <c r="E4" s="37" t="s">
        <v>78</v>
      </c>
      <c r="F4" s="37" t="s">
        <v>79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</row>
    <row r="5" spans="1:153" ht="14.45" customHeight="1" x14ac:dyDescent="0.25">
      <c r="A5" s="357" t="s">
        <v>4</v>
      </c>
      <c r="B5" s="358" t="s">
        <v>80</v>
      </c>
      <c r="C5" s="2" t="s">
        <v>81</v>
      </c>
      <c r="D5" s="32">
        <v>38827</v>
      </c>
      <c r="E5" s="32">
        <v>38841</v>
      </c>
      <c r="F5" s="357" t="s">
        <v>82</v>
      </c>
    </row>
    <row r="6" spans="1:153" ht="14.45" customHeight="1" x14ac:dyDescent="0.25">
      <c r="A6" s="357"/>
      <c r="B6" s="358"/>
      <c r="C6" s="160" t="s">
        <v>438</v>
      </c>
      <c r="D6" s="32">
        <v>41064</v>
      </c>
      <c r="E6" s="32">
        <v>41100</v>
      </c>
      <c r="F6" s="357"/>
    </row>
    <row r="7" spans="1:153" ht="14.45" customHeight="1" x14ac:dyDescent="0.25">
      <c r="A7" s="357"/>
      <c r="B7" s="358"/>
      <c r="C7" s="160" t="s">
        <v>439</v>
      </c>
      <c r="D7" s="32">
        <v>42270</v>
      </c>
      <c r="E7" s="32">
        <v>42409</v>
      </c>
      <c r="F7" s="357"/>
    </row>
    <row r="8" spans="1:153" ht="14.45" customHeight="1" x14ac:dyDescent="0.25">
      <c r="A8" s="359" t="s">
        <v>53</v>
      </c>
      <c r="B8" s="360" t="s">
        <v>83</v>
      </c>
      <c r="C8" s="3" t="s">
        <v>84</v>
      </c>
      <c r="D8" s="34">
        <v>39407</v>
      </c>
      <c r="E8" s="34">
        <v>39407</v>
      </c>
      <c r="F8" s="165" t="s">
        <v>82</v>
      </c>
    </row>
    <row r="9" spans="1:153" ht="14.45" customHeight="1" x14ac:dyDescent="0.25">
      <c r="A9" s="359"/>
      <c r="B9" s="360"/>
      <c r="C9" s="35" t="s">
        <v>440</v>
      </c>
      <c r="D9" s="34">
        <v>42872</v>
      </c>
      <c r="E9" s="34">
        <v>42872</v>
      </c>
      <c r="F9" s="165"/>
    </row>
    <row r="10" spans="1:153" ht="22.5" x14ac:dyDescent="0.25">
      <c r="A10" s="27" t="s">
        <v>56</v>
      </c>
      <c r="B10" s="18" t="s">
        <v>85</v>
      </c>
      <c r="C10" s="2" t="s">
        <v>86</v>
      </c>
      <c r="D10" s="32">
        <v>39919</v>
      </c>
      <c r="E10" s="32">
        <v>39919</v>
      </c>
      <c r="F10" s="159" t="s">
        <v>82</v>
      </c>
    </row>
    <row r="11" spans="1:153" ht="14.45" customHeight="1" x14ac:dyDescent="0.25">
      <c r="A11" s="26" t="s">
        <v>60</v>
      </c>
      <c r="B11" s="19" t="s">
        <v>87</v>
      </c>
      <c r="C11" s="3" t="s">
        <v>88</v>
      </c>
      <c r="D11" s="34">
        <v>42228</v>
      </c>
      <c r="E11" s="34">
        <v>42265</v>
      </c>
      <c r="F11" s="165" t="s">
        <v>82</v>
      </c>
    </row>
    <row r="12" spans="1:153" ht="14.45" customHeight="1" x14ac:dyDescent="0.25">
      <c r="A12" s="357" t="s">
        <v>65</v>
      </c>
      <c r="B12" s="358" t="s">
        <v>443</v>
      </c>
      <c r="C12" s="2" t="s">
        <v>89</v>
      </c>
      <c r="D12" s="32">
        <v>39144</v>
      </c>
      <c r="E12" s="32">
        <v>39184</v>
      </c>
      <c r="F12" s="357" t="s">
        <v>82</v>
      </c>
    </row>
    <row r="13" spans="1:153" ht="14.45" customHeight="1" x14ac:dyDescent="0.25">
      <c r="A13" s="357"/>
      <c r="B13" s="358"/>
      <c r="C13" s="2" t="s">
        <v>90</v>
      </c>
      <c r="D13" s="32">
        <v>39724</v>
      </c>
      <c r="E13" s="32">
        <v>39769</v>
      </c>
      <c r="F13" s="357"/>
    </row>
    <row r="14" spans="1:153" ht="14.45" customHeight="1" x14ac:dyDescent="0.25">
      <c r="A14" s="357"/>
      <c r="B14" s="358"/>
      <c r="C14" s="2" t="s">
        <v>91</v>
      </c>
      <c r="D14" s="32">
        <v>40141</v>
      </c>
      <c r="E14" s="32">
        <v>40156</v>
      </c>
      <c r="F14" s="357"/>
    </row>
    <row r="15" spans="1:153" ht="14.45" customHeight="1" x14ac:dyDescent="0.25">
      <c r="A15" s="357"/>
      <c r="B15" s="358"/>
      <c r="C15" s="160" t="s">
        <v>441</v>
      </c>
      <c r="D15" s="32">
        <v>40619</v>
      </c>
      <c r="E15" s="32">
        <v>40668</v>
      </c>
      <c r="F15" s="357"/>
    </row>
    <row r="16" spans="1:153" ht="14.45" customHeight="1" x14ac:dyDescent="0.25">
      <c r="A16" s="357"/>
      <c r="B16" s="358"/>
      <c r="C16" s="160" t="s">
        <v>442</v>
      </c>
      <c r="D16" s="32">
        <v>41050</v>
      </c>
      <c r="E16" s="32">
        <v>41142</v>
      </c>
      <c r="F16" s="357"/>
    </row>
    <row r="17" spans="1:153" ht="14.45" customHeight="1" x14ac:dyDescent="0.25">
      <c r="A17" s="121" t="s">
        <v>13</v>
      </c>
      <c r="B17" s="19" t="s">
        <v>92</v>
      </c>
      <c r="C17" s="3" t="s">
        <v>93</v>
      </c>
      <c r="D17" s="34">
        <v>42996</v>
      </c>
      <c r="E17" s="34">
        <v>43017</v>
      </c>
      <c r="F17" s="165" t="s">
        <v>82</v>
      </c>
    </row>
    <row r="18" spans="1:153" ht="14.45" customHeight="1" x14ac:dyDescent="0.25">
      <c r="A18" s="27" t="s">
        <v>14</v>
      </c>
      <c r="B18" s="18" t="s">
        <v>92</v>
      </c>
      <c r="C18" s="2" t="s">
        <v>94</v>
      </c>
      <c r="D18" s="32">
        <v>42996</v>
      </c>
      <c r="E18" s="32">
        <v>43017</v>
      </c>
      <c r="F18" s="159" t="s">
        <v>82</v>
      </c>
    </row>
    <row r="19" spans="1:153" s="125" customFormat="1" ht="14.45" customHeight="1" x14ac:dyDescent="0.25">
      <c r="A19" s="121" t="s">
        <v>15</v>
      </c>
      <c r="B19" s="122" t="s">
        <v>92</v>
      </c>
      <c r="C19" s="123" t="s">
        <v>95</v>
      </c>
      <c r="D19" s="124">
        <v>42996</v>
      </c>
      <c r="E19" s="124">
        <v>43017</v>
      </c>
      <c r="F19" s="158" t="s">
        <v>82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</row>
    <row r="20" spans="1:153" s="117" customFormat="1" ht="14.45" customHeight="1" x14ac:dyDescent="0.25">
      <c r="A20" s="114" t="s">
        <v>416</v>
      </c>
      <c r="B20" s="115" t="s">
        <v>417</v>
      </c>
      <c r="C20" s="116" t="s">
        <v>437</v>
      </c>
      <c r="D20" s="177">
        <v>43585</v>
      </c>
      <c r="E20" s="177">
        <v>43588</v>
      </c>
      <c r="F20" s="114" t="s">
        <v>184</v>
      </c>
    </row>
    <row r="21" spans="1:153" s="125" customFormat="1" ht="14.45" customHeight="1" x14ac:dyDescent="0.25">
      <c r="A21" s="362">
        <v>103</v>
      </c>
      <c r="B21" s="362" t="s">
        <v>430</v>
      </c>
      <c r="C21" s="123" t="s">
        <v>96</v>
      </c>
      <c r="D21" s="124">
        <v>38188</v>
      </c>
      <c r="E21" s="124">
        <v>38208</v>
      </c>
      <c r="F21" s="362" t="s">
        <v>82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</row>
    <row r="22" spans="1:153" s="125" customFormat="1" ht="14.45" customHeight="1" x14ac:dyDescent="0.25">
      <c r="A22" s="362"/>
      <c r="B22" s="362"/>
      <c r="C22" s="123" t="s">
        <v>97</v>
      </c>
      <c r="D22" s="124">
        <v>38672</v>
      </c>
      <c r="E22" s="124">
        <v>38679</v>
      </c>
      <c r="F22" s="362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</row>
    <row r="23" spans="1:153" s="125" customFormat="1" ht="14.45" customHeight="1" x14ac:dyDescent="0.25">
      <c r="A23" s="362"/>
      <c r="B23" s="362"/>
      <c r="C23" s="123" t="s">
        <v>98</v>
      </c>
      <c r="D23" s="124">
        <v>38926</v>
      </c>
      <c r="E23" s="124">
        <v>38932</v>
      </c>
      <c r="F23" s="362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</row>
    <row r="24" spans="1:153" s="125" customFormat="1" ht="14.45" customHeight="1" x14ac:dyDescent="0.25">
      <c r="A24" s="362"/>
      <c r="B24" s="362"/>
      <c r="C24" s="123" t="s">
        <v>99</v>
      </c>
      <c r="D24" s="124">
        <v>39407</v>
      </c>
      <c r="E24" s="124">
        <v>39421</v>
      </c>
      <c r="F24" s="362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</row>
    <row r="25" spans="1:153" s="125" customFormat="1" ht="14.45" customHeight="1" x14ac:dyDescent="0.25">
      <c r="A25" s="362"/>
      <c r="B25" s="362"/>
      <c r="C25" s="123" t="s">
        <v>100</v>
      </c>
      <c r="D25" s="124">
        <v>40225</v>
      </c>
      <c r="E25" s="124">
        <v>40513</v>
      </c>
      <c r="F25" s="362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</row>
    <row r="26" spans="1:153" s="125" customFormat="1" ht="14.45" customHeight="1" x14ac:dyDescent="0.25">
      <c r="A26" s="362"/>
      <c r="B26" s="362"/>
      <c r="C26" s="129" t="s">
        <v>428</v>
      </c>
      <c r="D26" s="124">
        <v>41892</v>
      </c>
      <c r="E26" s="124">
        <v>41934</v>
      </c>
      <c r="F26" s="158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</row>
    <row r="27" spans="1:153" s="125" customFormat="1" ht="14.45" customHeight="1" x14ac:dyDescent="0.25">
      <c r="A27" s="362"/>
      <c r="B27" s="362"/>
      <c r="C27" s="129" t="s">
        <v>429</v>
      </c>
      <c r="D27" s="124">
        <v>43350</v>
      </c>
      <c r="E27" s="124">
        <v>43410</v>
      </c>
      <c r="F27" s="158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</row>
    <row r="28" spans="1:153" s="119" customFormat="1" ht="14.45" customHeight="1" x14ac:dyDescent="0.25">
      <c r="A28" s="366">
        <v>107</v>
      </c>
      <c r="B28" s="366" t="s">
        <v>101</v>
      </c>
      <c r="C28" s="118" t="s">
        <v>102</v>
      </c>
      <c r="D28" s="100">
        <v>38575</v>
      </c>
      <c r="E28" s="100">
        <v>38596</v>
      </c>
      <c r="F28" s="366" t="s">
        <v>82</v>
      </c>
    </row>
    <row r="29" spans="1:153" s="119" customFormat="1" ht="14.45" customHeight="1" x14ac:dyDescent="0.25">
      <c r="A29" s="366"/>
      <c r="B29" s="366"/>
      <c r="C29" s="118" t="s">
        <v>103</v>
      </c>
      <c r="D29" s="100">
        <v>39312</v>
      </c>
      <c r="E29" s="100">
        <v>39377</v>
      </c>
      <c r="F29" s="366"/>
    </row>
    <row r="30" spans="1:153" s="119" customFormat="1" ht="14.45" customHeight="1" x14ac:dyDescent="0.25">
      <c r="A30" s="366"/>
      <c r="B30" s="366"/>
      <c r="C30" s="162" t="s">
        <v>444</v>
      </c>
      <c r="D30" s="100">
        <v>40403</v>
      </c>
      <c r="E30" s="100">
        <v>40408</v>
      </c>
      <c r="F30" s="366"/>
    </row>
    <row r="31" spans="1:153" s="119" customFormat="1" ht="14.45" customHeight="1" x14ac:dyDescent="0.25">
      <c r="A31" s="366"/>
      <c r="B31" s="366"/>
      <c r="C31" s="162" t="s">
        <v>445</v>
      </c>
      <c r="D31" s="100">
        <v>42124</v>
      </c>
      <c r="E31" s="100">
        <v>42157</v>
      </c>
      <c r="F31" s="366"/>
    </row>
    <row r="32" spans="1:153" s="119" customFormat="1" ht="14.45" customHeight="1" x14ac:dyDescent="0.25">
      <c r="A32" s="366"/>
      <c r="B32" s="366"/>
      <c r="C32" s="162" t="s">
        <v>446</v>
      </c>
      <c r="D32" s="100">
        <v>42747</v>
      </c>
      <c r="E32" s="100">
        <v>43003</v>
      </c>
      <c r="F32" s="366"/>
    </row>
    <row r="33" spans="1:153" s="125" customFormat="1" ht="14.45" customHeight="1" x14ac:dyDescent="0.25">
      <c r="A33" s="362">
        <v>108</v>
      </c>
      <c r="B33" s="367" t="s">
        <v>448</v>
      </c>
      <c r="C33" s="123" t="s">
        <v>104</v>
      </c>
      <c r="D33" s="124">
        <v>38634</v>
      </c>
      <c r="E33" s="124">
        <v>38699</v>
      </c>
      <c r="F33" s="362" t="s">
        <v>82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</row>
    <row r="34" spans="1:153" s="125" customFormat="1" ht="14.45" customHeight="1" x14ac:dyDescent="0.25">
      <c r="A34" s="362"/>
      <c r="B34" s="367"/>
      <c r="C34" s="123" t="s">
        <v>105</v>
      </c>
      <c r="D34" s="124">
        <v>39724</v>
      </c>
      <c r="E34" s="124">
        <v>39473</v>
      </c>
      <c r="F34" s="362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</row>
    <row r="35" spans="1:153" s="125" customFormat="1" ht="14.45" customHeight="1" x14ac:dyDescent="0.25">
      <c r="A35" s="362"/>
      <c r="B35" s="367"/>
      <c r="C35" s="123" t="s">
        <v>106</v>
      </c>
      <c r="D35" s="124">
        <v>40507</v>
      </c>
      <c r="E35" s="178">
        <v>40490</v>
      </c>
      <c r="F35" s="362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</row>
    <row r="36" spans="1:153" s="125" customFormat="1" ht="14.45" customHeight="1" x14ac:dyDescent="0.25">
      <c r="A36" s="362"/>
      <c r="B36" s="367"/>
      <c r="C36" s="161" t="s">
        <v>447</v>
      </c>
      <c r="D36" s="124">
        <v>41657</v>
      </c>
      <c r="E36" s="178">
        <v>41733</v>
      </c>
      <c r="F36" s="362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</row>
    <row r="37" spans="1:153" s="120" customFormat="1" x14ac:dyDescent="0.25">
      <c r="A37" s="365">
        <v>116</v>
      </c>
      <c r="B37" s="364" t="s">
        <v>449</v>
      </c>
      <c r="C37" s="181" t="s">
        <v>107</v>
      </c>
      <c r="D37" s="182">
        <v>39049</v>
      </c>
      <c r="E37" s="182">
        <v>39063</v>
      </c>
      <c r="F37" s="363" t="s">
        <v>82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</row>
    <row r="38" spans="1:153" s="120" customFormat="1" ht="14.45" customHeight="1" x14ac:dyDescent="0.25">
      <c r="A38" s="365"/>
      <c r="B38" s="364"/>
      <c r="C38" s="179" t="s">
        <v>450</v>
      </c>
      <c r="D38" s="180">
        <v>40320</v>
      </c>
      <c r="E38" s="180">
        <v>40345</v>
      </c>
      <c r="F38" s="363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</row>
    <row r="39" spans="1:153" s="120" customFormat="1" ht="14.45" customHeight="1" x14ac:dyDescent="0.25">
      <c r="A39" s="365"/>
      <c r="B39" s="364"/>
      <c r="C39" s="163" t="s">
        <v>451</v>
      </c>
      <c r="D39" s="164">
        <v>41267</v>
      </c>
      <c r="E39" s="164">
        <v>41302</v>
      </c>
      <c r="F39" s="163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</row>
    <row r="40" spans="1:153" s="120" customFormat="1" ht="14.45" customHeight="1" x14ac:dyDescent="0.25">
      <c r="A40" s="365"/>
      <c r="B40" s="364"/>
      <c r="C40" s="163" t="s">
        <v>452</v>
      </c>
      <c r="D40" s="164">
        <v>41453</v>
      </c>
      <c r="E40" s="164">
        <v>41480</v>
      </c>
      <c r="F40" s="163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</row>
    <row r="41" spans="1:153" s="120" customFormat="1" ht="14.45" customHeight="1" x14ac:dyDescent="0.25">
      <c r="A41" s="365"/>
      <c r="B41" s="364"/>
      <c r="C41" s="163" t="s">
        <v>453</v>
      </c>
      <c r="D41" s="164">
        <v>42722</v>
      </c>
      <c r="E41" s="164">
        <v>42795</v>
      </c>
      <c r="F41" s="163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</row>
    <row r="42" spans="1:153" s="120" customFormat="1" ht="14.45" customHeight="1" x14ac:dyDescent="0.25">
      <c r="A42" s="365"/>
      <c r="B42" s="364"/>
      <c r="C42" s="163" t="s">
        <v>454</v>
      </c>
      <c r="D42" s="164">
        <v>43350</v>
      </c>
      <c r="E42" s="164">
        <v>43350</v>
      </c>
      <c r="F42" s="163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</row>
    <row r="43" spans="1:153" ht="14.45" customHeight="1" x14ac:dyDescent="0.25">
      <c r="A43" s="356" t="s">
        <v>108</v>
      </c>
      <c r="B43" s="356"/>
      <c r="C43" s="361">
        <v>13</v>
      </c>
      <c r="D43" s="361"/>
      <c r="E43" s="361"/>
      <c r="F43" s="361"/>
    </row>
  </sheetData>
  <mergeCells count="26">
    <mergeCell ref="A43:B43"/>
    <mergeCell ref="C43:F43"/>
    <mergeCell ref="F21:F25"/>
    <mergeCell ref="F37:F38"/>
    <mergeCell ref="A21:A27"/>
    <mergeCell ref="B21:B27"/>
    <mergeCell ref="B37:B42"/>
    <mergeCell ref="A37:A42"/>
    <mergeCell ref="F28:F32"/>
    <mergeCell ref="B28:B32"/>
    <mergeCell ref="A28:A32"/>
    <mergeCell ref="F33:F36"/>
    <mergeCell ref="B33:B36"/>
    <mergeCell ref="A33:A36"/>
    <mergeCell ref="A8:A9"/>
    <mergeCell ref="B8:B9"/>
    <mergeCell ref="F12:F16"/>
    <mergeCell ref="A12:A16"/>
    <mergeCell ref="B12:B16"/>
    <mergeCell ref="A1:F1"/>
    <mergeCell ref="A2:F2"/>
    <mergeCell ref="A3:A4"/>
    <mergeCell ref="B3:B4"/>
    <mergeCell ref="F5:F7"/>
    <mergeCell ref="B5:B7"/>
    <mergeCell ref="A5:A7"/>
  </mergeCells>
  <pageMargins left="0.7" right="0.7" top="0.75" bottom="0.75" header="0.3" footer="0.3"/>
  <pageSetup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activeCell="L1" sqref="L1:L1048576"/>
    </sheetView>
  </sheetViews>
  <sheetFormatPr baseColWidth="10" defaultRowHeight="11.25" x14ac:dyDescent="0.2"/>
  <cols>
    <col min="1" max="1" width="17.28515625" style="57" customWidth="1"/>
    <col min="2" max="3" width="11.5703125" style="57" bestFit="1" customWidth="1"/>
    <col min="4" max="5" width="12.140625" style="57" bestFit="1" customWidth="1"/>
    <col min="6" max="16384" width="11.42578125" style="57"/>
  </cols>
  <sheetData>
    <row r="1" spans="1:6" ht="11.25" customHeight="1" x14ac:dyDescent="0.2">
      <c r="A1" s="439" t="s">
        <v>753</v>
      </c>
      <c r="B1" s="439"/>
      <c r="C1" s="439"/>
      <c r="D1" s="439"/>
      <c r="E1" s="439"/>
      <c r="F1" s="439"/>
    </row>
    <row r="2" spans="1:6" x14ac:dyDescent="0.2">
      <c r="A2" s="254" t="s">
        <v>627</v>
      </c>
      <c r="B2" s="308">
        <v>2015</v>
      </c>
      <c r="C2" s="308">
        <v>2016</v>
      </c>
      <c r="D2" s="308">
        <v>2017</v>
      </c>
      <c r="E2" s="308">
        <v>2018</v>
      </c>
      <c r="F2" s="308">
        <v>2019</v>
      </c>
    </row>
    <row r="3" spans="1:6" x14ac:dyDescent="0.2">
      <c r="A3" s="241" t="s">
        <v>749</v>
      </c>
      <c r="B3" s="263">
        <v>120071.32199999999</v>
      </c>
      <c r="C3" s="263">
        <v>24015.807209999999</v>
      </c>
      <c r="D3" s="263">
        <v>25644.312930000004</v>
      </c>
      <c r="E3" s="263">
        <v>138873.87515000001</v>
      </c>
      <c r="F3" s="263">
        <v>121952.401</v>
      </c>
    </row>
    <row r="4" spans="1:6" x14ac:dyDescent="0.2">
      <c r="A4" s="310" t="s">
        <v>509</v>
      </c>
      <c r="B4" s="280">
        <v>449075.22196000005</v>
      </c>
      <c r="C4" s="280">
        <v>522171.52620999998</v>
      </c>
      <c r="D4" s="280">
        <v>747859.38286999997</v>
      </c>
      <c r="E4" s="280">
        <v>998645.90225000004</v>
      </c>
      <c r="F4" s="280">
        <v>600496.80700000003</v>
      </c>
    </row>
    <row r="5" spans="1:6" ht="13.5" customHeight="1" x14ac:dyDescent="0.2">
      <c r="A5" s="241" t="s">
        <v>750</v>
      </c>
      <c r="B5" s="263">
        <v>34427.769830000005</v>
      </c>
      <c r="C5" s="263">
        <v>32047.066659999997</v>
      </c>
      <c r="D5" s="263">
        <v>31875.486439999997</v>
      </c>
      <c r="E5" s="263">
        <v>4192.7908599999992</v>
      </c>
      <c r="F5" s="263">
        <v>0</v>
      </c>
    </row>
    <row r="6" spans="1:6" x14ac:dyDescent="0.2">
      <c r="A6" s="310" t="s">
        <v>751</v>
      </c>
      <c r="B6" s="280">
        <v>860197.63027000008</v>
      </c>
      <c r="C6" s="280">
        <v>789710.13865999994</v>
      </c>
      <c r="D6" s="280">
        <v>1091366.4119000002</v>
      </c>
      <c r="E6" s="280">
        <v>1182051.5782900001</v>
      </c>
      <c r="F6" s="280">
        <v>883049.86599999992</v>
      </c>
    </row>
    <row r="7" spans="1:6" x14ac:dyDescent="0.2">
      <c r="A7" s="241" t="s">
        <v>634</v>
      </c>
      <c r="B7" s="263">
        <v>436809.03603000002</v>
      </c>
      <c r="C7" s="263">
        <v>449356.63624000002</v>
      </c>
      <c r="D7" s="263">
        <v>589755.60538999981</v>
      </c>
      <c r="E7" s="263">
        <v>783496.04900000012</v>
      </c>
      <c r="F7" s="263">
        <v>677923.78700000001</v>
      </c>
    </row>
    <row r="8" spans="1:6" ht="14.25" customHeight="1" x14ac:dyDescent="0.2">
      <c r="A8" s="310" t="s">
        <v>752</v>
      </c>
      <c r="B8" s="280">
        <v>385145.08389999997</v>
      </c>
      <c r="C8" s="280">
        <v>406790.01468000002</v>
      </c>
      <c r="D8" s="280">
        <v>727719.01191999996</v>
      </c>
      <c r="E8" s="280">
        <v>1004710.6009999998</v>
      </c>
      <c r="F8" s="280">
        <v>730018.87000999996</v>
      </c>
    </row>
    <row r="9" spans="1:6" x14ac:dyDescent="0.2">
      <c r="A9" s="241" t="s">
        <v>595</v>
      </c>
      <c r="B9" s="263">
        <v>26988.060409999998</v>
      </c>
      <c r="C9" s="263">
        <v>19403.875139999996</v>
      </c>
      <c r="D9" s="263">
        <v>17002.569029999999</v>
      </c>
      <c r="E9" s="263">
        <v>25212.224340000001</v>
      </c>
      <c r="F9" s="263">
        <v>26584.375000000007</v>
      </c>
    </row>
  </sheetData>
  <mergeCells count="1">
    <mergeCell ref="A1:F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>
      <selection activeCell="L1" sqref="L1:L1048576"/>
    </sheetView>
  </sheetViews>
  <sheetFormatPr baseColWidth="10" defaultRowHeight="11.25" x14ac:dyDescent="0.2"/>
  <cols>
    <col min="1" max="1" width="18.28515625" style="57" customWidth="1"/>
    <col min="2" max="16384" width="11.42578125" style="57"/>
  </cols>
  <sheetData>
    <row r="1" spans="1:6" ht="11.25" customHeight="1" x14ac:dyDescent="0.2">
      <c r="A1" s="439" t="s">
        <v>754</v>
      </c>
      <c r="B1" s="439"/>
      <c r="C1" s="439"/>
      <c r="D1" s="439"/>
      <c r="E1" s="439"/>
      <c r="F1" s="439"/>
    </row>
    <row r="2" spans="1:6" x14ac:dyDescent="0.2">
      <c r="A2" s="254" t="s">
        <v>627</v>
      </c>
      <c r="B2" s="308">
        <v>2015</v>
      </c>
      <c r="C2" s="308">
        <v>2016</v>
      </c>
      <c r="D2" s="308">
        <v>2017</v>
      </c>
      <c r="E2" s="308">
        <v>2018</v>
      </c>
      <c r="F2" s="308">
        <v>2019</v>
      </c>
    </row>
    <row r="3" spans="1:6" x14ac:dyDescent="0.2">
      <c r="A3" s="241" t="s">
        <v>749</v>
      </c>
      <c r="B3" s="309">
        <v>31326.811362690001</v>
      </c>
      <c r="C3" s="309">
        <v>38489.176809190001</v>
      </c>
      <c r="D3" s="309">
        <v>45735.960270209987</v>
      </c>
      <c r="E3" s="309">
        <v>41117.126798816113</v>
      </c>
      <c r="F3" s="309">
        <v>38295.298415730002</v>
      </c>
    </row>
    <row r="4" spans="1:6" ht="15.75" customHeight="1" x14ac:dyDescent="0.2">
      <c r="A4" s="310" t="s">
        <v>750</v>
      </c>
      <c r="B4" s="311">
        <v>1119.1782053799998</v>
      </c>
      <c r="C4" s="311">
        <v>1816.048558934064</v>
      </c>
      <c r="D4" s="311">
        <v>2491.5317679099999</v>
      </c>
      <c r="E4" s="311">
        <v>4240.2989652346741</v>
      </c>
      <c r="F4" s="311">
        <v>4052.6607310700001</v>
      </c>
    </row>
    <row r="5" spans="1:6" x14ac:dyDescent="0.2">
      <c r="A5" s="241" t="s">
        <v>751</v>
      </c>
      <c r="B5" s="309">
        <v>5063.3591975600002</v>
      </c>
      <c r="C5" s="309">
        <v>6979.0890115800003</v>
      </c>
      <c r="D5" s="309">
        <v>7776.8679274200003</v>
      </c>
      <c r="E5" s="309">
        <v>8428.9021967600002</v>
      </c>
      <c r="F5" s="309">
        <v>6682.4919587200011</v>
      </c>
    </row>
    <row r="6" spans="1:6" ht="14.25" customHeight="1" x14ac:dyDescent="0.2">
      <c r="A6" s="310" t="s">
        <v>634</v>
      </c>
      <c r="B6" s="311">
        <v>22074.730053859996</v>
      </c>
      <c r="C6" s="311">
        <v>28310.88809416</v>
      </c>
      <c r="D6" s="311">
        <v>30881.23481378</v>
      </c>
      <c r="E6" s="311">
        <v>29994.934545309996</v>
      </c>
      <c r="F6" s="311">
        <v>29288.190214500002</v>
      </c>
    </row>
    <row r="7" spans="1:6" x14ac:dyDescent="0.2">
      <c r="A7" s="241" t="s">
        <v>595</v>
      </c>
      <c r="B7" s="309">
        <v>1117.6383694899998</v>
      </c>
      <c r="C7" s="309">
        <v>1093.1253816595736</v>
      </c>
      <c r="D7" s="309">
        <v>1322.8717466061296</v>
      </c>
      <c r="E7" s="309">
        <v>1232.4574569744</v>
      </c>
      <c r="F7" s="309">
        <v>1187.3310379446102</v>
      </c>
    </row>
    <row r="8" spans="1:6" ht="15.75" customHeight="1" x14ac:dyDescent="0.2">
      <c r="A8" s="310" t="s">
        <v>752</v>
      </c>
      <c r="B8" s="311">
        <v>0</v>
      </c>
      <c r="C8" s="311">
        <v>149.64593094</v>
      </c>
      <c r="D8" s="311">
        <v>149.86254596000001</v>
      </c>
      <c r="E8" s="311">
        <v>0</v>
      </c>
      <c r="F8" s="311">
        <v>207.37050006999999</v>
      </c>
    </row>
  </sheetData>
  <mergeCells count="1">
    <mergeCell ref="A1:F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>
      <selection activeCell="L1" sqref="L1:L1048576"/>
    </sheetView>
  </sheetViews>
  <sheetFormatPr baseColWidth="10" defaultRowHeight="11.25" x14ac:dyDescent="0.2"/>
  <cols>
    <col min="1" max="1" width="17.7109375" style="57" customWidth="1"/>
    <col min="2" max="5" width="12.140625" style="57" bestFit="1" customWidth="1"/>
    <col min="6" max="16384" width="11.42578125" style="57"/>
  </cols>
  <sheetData>
    <row r="1" spans="1:6" ht="11.25" customHeight="1" x14ac:dyDescent="0.2">
      <c r="A1" s="439" t="s">
        <v>755</v>
      </c>
      <c r="B1" s="439"/>
      <c r="C1" s="439"/>
      <c r="D1" s="439"/>
      <c r="E1" s="439"/>
      <c r="F1" s="439"/>
    </row>
    <row r="2" spans="1:6" x14ac:dyDescent="0.2">
      <c r="A2" s="254" t="s">
        <v>627</v>
      </c>
      <c r="B2" s="308">
        <v>2015</v>
      </c>
      <c r="C2" s="308">
        <v>2016</v>
      </c>
      <c r="D2" s="308">
        <v>2017</v>
      </c>
      <c r="E2" s="308">
        <v>2018</v>
      </c>
      <c r="F2" s="308">
        <v>2019</v>
      </c>
    </row>
    <row r="3" spans="1:6" x14ac:dyDescent="0.2">
      <c r="A3" s="241" t="s">
        <v>749</v>
      </c>
      <c r="B3" s="263">
        <v>1642254.8758139999</v>
      </c>
      <c r="C3" s="263">
        <v>1600634.421178</v>
      </c>
      <c r="D3" s="263">
        <v>2458799.1941959998</v>
      </c>
      <c r="E3" s="263">
        <v>2853824.6534399996</v>
      </c>
      <c r="F3" s="263">
        <v>2478976.8286399995</v>
      </c>
    </row>
    <row r="4" spans="1:6" ht="13.5" customHeight="1" x14ac:dyDescent="0.2">
      <c r="A4" s="310" t="s">
        <v>750</v>
      </c>
      <c r="B4" s="280">
        <v>40171.635823999997</v>
      </c>
      <c r="C4" s="280">
        <v>60123.608573000005</v>
      </c>
      <c r="D4" s="280">
        <v>109991.907594</v>
      </c>
      <c r="E4" s="280">
        <v>208664.12909599999</v>
      </c>
      <c r="F4" s="280">
        <v>137615.37618000002</v>
      </c>
    </row>
    <row r="5" spans="1:6" x14ac:dyDescent="0.2">
      <c r="A5" s="241" t="s">
        <v>751</v>
      </c>
      <c r="B5" s="263">
        <v>380893.66287000006</v>
      </c>
      <c r="C5" s="263">
        <v>423613.284935</v>
      </c>
      <c r="D5" s="263">
        <v>559352.13084400003</v>
      </c>
      <c r="E5" s="263">
        <v>716835.43862000003</v>
      </c>
      <c r="F5" s="263">
        <v>509834.77624000004</v>
      </c>
    </row>
    <row r="6" spans="1:6" ht="12" customHeight="1" x14ac:dyDescent="0.2">
      <c r="A6" s="310" t="s">
        <v>634</v>
      </c>
      <c r="B6" s="280">
        <v>1526737.0540420003</v>
      </c>
      <c r="C6" s="280">
        <v>1602705.7337450001</v>
      </c>
      <c r="D6" s="280">
        <v>2047809.6580060003</v>
      </c>
      <c r="E6" s="280">
        <v>2661152.5429799999</v>
      </c>
      <c r="F6" s="280">
        <v>2414391.4043899998</v>
      </c>
    </row>
    <row r="7" spans="1:6" x14ac:dyDescent="0.2">
      <c r="A7" s="241" t="s">
        <v>595</v>
      </c>
      <c r="B7" s="263">
        <v>258931.89417499996</v>
      </c>
      <c r="C7" s="263">
        <v>276285.93764600001</v>
      </c>
      <c r="D7" s="263">
        <v>267397.12678999995</v>
      </c>
      <c r="E7" s="263">
        <v>321943.78989300004</v>
      </c>
      <c r="F7" s="263">
        <v>310819.01277999999</v>
      </c>
    </row>
    <row r="8" spans="1:6" ht="14.25" customHeight="1" x14ac:dyDescent="0.2">
      <c r="A8" s="310" t="s">
        <v>752</v>
      </c>
      <c r="B8" s="312">
        <v>0</v>
      </c>
      <c r="C8" s="280">
        <v>6255.0117699999992</v>
      </c>
      <c r="D8" s="280">
        <v>7936.4788699999999</v>
      </c>
      <c r="E8" s="312">
        <v>0</v>
      </c>
      <c r="F8" s="312">
        <v>13019.773580000001</v>
      </c>
    </row>
  </sheetData>
  <mergeCells count="1">
    <mergeCell ref="A1:F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N20" sqref="N20"/>
    </sheetView>
  </sheetViews>
  <sheetFormatPr baseColWidth="10" defaultRowHeight="15" x14ac:dyDescent="0.25"/>
  <sheetData>
    <row r="1" spans="1:13" x14ac:dyDescent="0.25">
      <c r="A1" s="440"/>
      <c r="B1" s="313" t="s">
        <v>756</v>
      </c>
      <c r="C1" s="313" t="s">
        <v>757</v>
      </c>
      <c r="D1" s="313" t="s">
        <v>758</v>
      </c>
      <c r="E1" s="313" t="s">
        <v>759</v>
      </c>
      <c r="F1" s="313" t="s">
        <v>760</v>
      </c>
      <c r="G1" s="313" t="s">
        <v>761</v>
      </c>
      <c r="H1" s="313" t="s">
        <v>762</v>
      </c>
      <c r="I1" s="313" t="s">
        <v>763</v>
      </c>
      <c r="J1" s="313" t="s">
        <v>764</v>
      </c>
      <c r="K1" s="313" t="s">
        <v>765</v>
      </c>
      <c r="L1" s="313" t="s">
        <v>766</v>
      </c>
      <c r="M1" s="313" t="s">
        <v>767</v>
      </c>
    </row>
    <row r="2" spans="1:13" x14ac:dyDescent="0.25">
      <c r="A2" s="440"/>
      <c r="B2" s="313">
        <v>19</v>
      </c>
      <c r="C2" s="313">
        <v>19</v>
      </c>
      <c r="D2" s="313">
        <v>19</v>
      </c>
      <c r="E2" s="313">
        <v>19</v>
      </c>
      <c r="F2" s="313">
        <v>19</v>
      </c>
      <c r="G2" s="313">
        <v>19</v>
      </c>
      <c r="H2" s="313">
        <v>19</v>
      </c>
      <c r="I2" s="313">
        <v>19</v>
      </c>
      <c r="J2" s="313">
        <v>19</v>
      </c>
      <c r="K2" s="313">
        <v>19</v>
      </c>
      <c r="L2" s="313">
        <v>19</v>
      </c>
      <c r="M2" s="313">
        <v>19</v>
      </c>
    </row>
    <row r="3" spans="1:13" x14ac:dyDescent="0.25">
      <c r="A3" s="293" t="s">
        <v>768</v>
      </c>
      <c r="B3" s="243">
        <v>479.83870967741933</v>
      </c>
      <c r="C3" s="314">
        <v>488.92857142857144</v>
      </c>
      <c r="D3" s="243">
        <v>427.87096774193549</v>
      </c>
      <c r="E3" s="314">
        <v>414.26666666666665</v>
      </c>
      <c r="F3" s="243">
        <v>420.64516129032256</v>
      </c>
      <c r="G3" s="314">
        <v>459.66666666666669</v>
      </c>
      <c r="H3" s="243">
        <v>464.19354838709677</v>
      </c>
      <c r="I3" s="314">
        <v>441.83870967741933</v>
      </c>
      <c r="J3" s="243">
        <v>483.7</v>
      </c>
      <c r="K3" s="314">
        <v>427.16129032258067</v>
      </c>
      <c r="L3" s="243">
        <v>478.3</v>
      </c>
      <c r="M3" s="314">
        <v>446.35483870967744</v>
      </c>
    </row>
    <row r="4" spans="1:13" x14ac:dyDescent="0.25">
      <c r="A4" s="293" t="s">
        <v>769</v>
      </c>
      <c r="B4" s="243">
        <v>1067.5483870967741</v>
      </c>
      <c r="C4" s="314">
        <v>1072.0714285714287</v>
      </c>
      <c r="D4" s="243">
        <v>1050.0645161290322</v>
      </c>
      <c r="E4" s="314">
        <v>804.8</v>
      </c>
      <c r="F4" s="243">
        <v>965.29032258064512</v>
      </c>
      <c r="G4" s="314">
        <v>1111.8</v>
      </c>
      <c r="H4" s="243">
        <v>1091.2258064516129</v>
      </c>
      <c r="I4" s="314">
        <v>1048.516129032258</v>
      </c>
      <c r="J4" s="243">
        <v>1026.9666666666667</v>
      </c>
      <c r="K4" s="314">
        <v>999.0322580645161</v>
      </c>
      <c r="L4" s="243">
        <v>1014.7666666666667</v>
      </c>
      <c r="M4" s="314">
        <v>984.25806451612902</v>
      </c>
    </row>
    <row r="5" spans="1:13" x14ac:dyDescent="0.25">
      <c r="A5" s="293" t="s">
        <v>116</v>
      </c>
      <c r="B5" s="315">
        <f t="shared" ref="B5:M5" si="0">+B3+B4</f>
        <v>1547.3870967741934</v>
      </c>
      <c r="C5" s="316">
        <f t="shared" si="0"/>
        <v>1561</v>
      </c>
      <c r="D5" s="315">
        <f t="shared" si="0"/>
        <v>1477.9354838709678</v>
      </c>
      <c r="E5" s="316">
        <f t="shared" si="0"/>
        <v>1219.0666666666666</v>
      </c>
      <c r="F5" s="315">
        <f t="shared" si="0"/>
        <v>1385.9354838709678</v>
      </c>
      <c r="G5" s="316">
        <f t="shared" si="0"/>
        <v>1571.4666666666667</v>
      </c>
      <c r="H5" s="315">
        <f t="shared" si="0"/>
        <v>1555.4193548387098</v>
      </c>
      <c r="I5" s="316">
        <f t="shared" si="0"/>
        <v>1490.3548387096773</v>
      </c>
      <c r="J5" s="315">
        <f t="shared" si="0"/>
        <v>1510.6666666666667</v>
      </c>
      <c r="K5" s="316">
        <f t="shared" si="0"/>
        <v>1426.1935483870968</v>
      </c>
      <c r="L5" s="315">
        <f t="shared" si="0"/>
        <v>1493.0666666666666</v>
      </c>
      <c r="M5" s="316">
        <f t="shared" si="0"/>
        <v>1430.6129032258063</v>
      </c>
    </row>
  </sheetData>
  <mergeCells count="1">
    <mergeCell ref="A1:A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E14" sqref="E14"/>
    </sheetView>
  </sheetViews>
  <sheetFormatPr baseColWidth="10" defaultRowHeight="15" x14ac:dyDescent="0.25"/>
  <sheetData>
    <row r="1" spans="1:13" x14ac:dyDescent="0.25">
      <c r="A1" s="440"/>
      <c r="B1" s="313" t="s">
        <v>756</v>
      </c>
      <c r="C1" s="313" t="s">
        <v>757</v>
      </c>
      <c r="D1" s="313" t="s">
        <v>758</v>
      </c>
      <c r="E1" s="313" t="s">
        <v>759</v>
      </c>
      <c r="F1" s="313" t="s">
        <v>760</v>
      </c>
      <c r="G1" s="313" t="s">
        <v>761</v>
      </c>
      <c r="H1" s="313" t="s">
        <v>762</v>
      </c>
      <c r="I1" s="313" t="s">
        <v>763</v>
      </c>
      <c r="J1" s="313" t="s">
        <v>764</v>
      </c>
      <c r="K1" s="313" t="s">
        <v>765</v>
      </c>
      <c r="L1" s="313" t="s">
        <v>766</v>
      </c>
      <c r="M1" s="313" t="s">
        <v>767</v>
      </c>
    </row>
    <row r="2" spans="1:13" x14ac:dyDescent="0.25">
      <c r="A2" s="440"/>
      <c r="B2" s="313">
        <v>19</v>
      </c>
      <c r="C2" s="313">
        <v>19</v>
      </c>
      <c r="D2" s="313">
        <v>19</v>
      </c>
      <c r="E2" s="313">
        <v>19</v>
      </c>
      <c r="F2" s="313">
        <v>19</v>
      </c>
      <c r="G2" s="313">
        <v>19</v>
      </c>
      <c r="H2" s="313">
        <v>19</v>
      </c>
      <c r="I2" s="313">
        <v>19</v>
      </c>
      <c r="J2" s="313">
        <v>19</v>
      </c>
      <c r="K2" s="313">
        <v>19</v>
      </c>
      <c r="L2" s="313">
        <v>19</v>
      </c>
      <c r="M2" s="313">
        <v>19</v>
      </c>
    </row>
    <row r="3" spans="1:13" x14ac:dyDescent="0.25">
      <c r="A3" s="293" t="s">
        <v>768</v>
      </c>
      <c r="B3" s="317">
        <v>28170.967741935485</v>
      </c>
      <c r="C3" s="318">
        <v>29025</v>
      </c>
      <c r="D3" s="317">
        <v>25883.870967741936</v>
      </c>
      <c r="E3" s="318">
        <v>23783.333333333332</v>
      </c>
      <c r="F3" s="317">
        <v>25009.677419354837</v>
      </c>
      <c r="G3" s="318">
        <v>25980</v>
      </c>
      <c r="H3" s="317">
        <v>25006.451612903227</v>
      </c>
      <c r="I3" s="318">
        <v>21335.483870967742</v>
      </c>
      <c r="J3" s="317">
        <v>25650</v>
      </c>
      <c r="K3" s="318">
        <v>22574.193548387098</v>
      </c>
      <c r="L3" s="317">
        <v>26626.666666666668</v>
      </c>
      <c r="M3" s="318">
        <v>24838.709677419356</v>
      </c>
    </row>
    <row r="4" spans="1:13" x14ac:dyDescent="0.25">
      <c r="A4" s="293" t="s">
        <v>769</v>
      </c>
      <c r="B4" s="317">
        <v>49254.838709677417</v>
      </c>
      <c r="C4" s="318">
        <v>49375</v>
      </c>
      <c r="D4" s="317">
        <v>23016.129032258064</v>
      </c>
      <c r="E4" s="318">
        <v>38593.333333333336</v>
      </c>
      <c r="F4" s="317">
        <v>44345.161290322583</v>
      </c>
      <c r="G4" s="318">
        <v>51426.666666666664</v>
      </c>
      <c r="H4" s="317">
        <v>50800</v>
      </c>
      <c r="I4" s="318">
        <v>49232.258064516129</v>
      </c>
      <c r="J4" s="317">
        <v>49080</v>
      </c>
      <c r="K4" s="318">
        <v>45822.580645161288</v>
      </c>
      <c r="L4" s="317">
        <v>47406.666666666664</v>
      </c>
      <c r="M4" s="318">
        <v>46577.419354838712</v>
      </c>
    </row>
    <row r="5" spans="1:13" x14ac:dyDescent="0.25">
      <c r="A5" s="319" t="s">
        <v>116</v>
      </c>
      <c r="B5" s="315">
        <f t="shared" ref="B5:M5" si="0">+B3+B4</f>
        <v>77425.806451612909</v>
      </c>
      <c r="C5" s="316">
        <f t="shared" si="0"/>
        <v>78400</v>
      </c>
      <c r="D5" s="315">
        <f t="shared" si="0"/>
        <v>48900</v>
      </c>
      <c r="E5" s="316">
        <f t="shared" si="0"/>
        <v>62376.666666666672</v>
      </c>
      <c r="F5" s="315">
        <f t="shared" si="0"/>
        <v>69354.838709677424</v>
      </c>
      <c r="G5" s="316">
        <f t="shared" si="0"/>
        <v>77406.666666666657</v>
      </c>
      <c r="H5" s="315">
        <f t="shared" si="0"/>
        <v>75806.451612903227</v>
      </c>
      <c r="I5" s="316">
        <f t="shared" si="0"/>
        <v>70567.741935483878</v>
      </c>
      <c r="J5" s="315">
        <f t="shared" si="0"/>
        <v>74730</v>
      </c>
      <c r="K5" s="316">
        <f t="shared" si="0"/>
        <v>68396.774193548394</v>
      </c>
      <c r="L5" s="315">
        <f t="shared" si="0"/>
        <v>74033.333333333328</v>
      </c>
      <c r="M5" s="316">
        <f t="shared" si="0"/>
        <v>71416.129032258061</v>
      </c>
    </row>
  </sheetData>
  <mergeCells count="1">
    <mergeCell ref="A1:A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E14" sqref="E14"/>
    </sheetView>
  </sheetViews>
  <sheetFormatPr baseColWidth="10" defaultRowHeight="15" x14ac:dyDescent="0.25"/>
  <sheetData>
    <row r="1" spans="1:13" x14ac:dyDescent="0.25">
      <c r="A1" s="441"/>
      <c r="B1" s="313" t="s">
        <v>756</v>
      </c>
      <c r="C1" s="313" t="s">
        <v>757</v>
      </c>
      <c r="D1" s="313" t="s">
        <v>758</v>
      </c>
      <c r="E1" s="313" t="s">
        <v>759</v>
      </c>
      <c r="F1" s="313" t="s">
        <v>760</v>
      </c>
      <c r="G1" s="313" t="s">
        <v>761</v>
      </c>
      <c r="H1" s="313" t="s">
        <v>762</v>
      </c>
      <c r="I1" s="313" t="s">
        <v>763</v>
      </c>
      <c r="J1" s="313" t="s">
        <v>764</v>
      </c>
      <c r="K1" s="313" t="s">
        <v>765</v>
      </c>
      <c r="L1" s="313" t="s">
        <v>766</v>
      </c>
      <c r="M1" s="313" t="s">
        <v>767</v>
      </c>
    </row>
    <row r="2" spans="1:13" x14ac:dyDescent="0.25">
      <c r="A2" s="441"/>
      <c r="B2" s="313">
        <v>19</v>
      </c>
      <c r="C2" s="313">
        <v>19</v>
      </c>
      <c r="D2" s="313">
        <v>19</v>
      </c>
      <c r="E2" s="313">
        <v>19</v>
      </c>
      <c r="F2" s="313">
        <v>19</v>
      </c>
      <c r="G2" s="313">
        <v>19</v>
      </c>
      <c r="H2" s="313">
        <v>19</v>
      </c>
      <c r="I2" s="313">
        <v>19</v>
      </c>
      <c r="J2" s="313">
        <v>19</v>
      </c>
      <c r="K2" s="313">
        <v>19</v>
      </c>
      <c r="L2" s="313">
        <v>19</v>
      </c>
      <c r="M2" s="313">
        <v>19</v>
      </c>
    </row>
    <row r="3" spans="1:13" ht="22.5" x14ac:dyDescent="0.25">
      <c r="A3" s="256" t="s">
        <v>770</v>
      </c>
      <c r="B3" s="320">
        <v>552.10017049837836</v>
      </c>
      <c r="C3" s="321">
        <v>513.12010497411745</v>
      </c>
      <c r="D3" s="320">
        <v>521.53085928156565</v>
      </c>
      <c r="E3" s="321">
        <v>505.62288338969722</v>
      </c>
      <c r="F3" s="320">
        <v>579.98795059036888</v>
      </c>
      <c r="G3" s="321">
        <v>664.17094428821611</v>
      </c>
      <c r="H3" s="320">
        <v>680.58085702312053</v>
      </c>
      <c r="I3" s="321">
        <v>718.66910702018959</v>
      </c>
      <c r="J3" s="320">
        <v>723.72191376378237</v>
      </c>
      <c r="K3" s="321">
        <v>684.0763900600956</v>
      </c>
      <c r="L3" s="320">
        <v>620.70789187201729</v>
      </c>
      <c r="M3" s="321">
        <v>495.91878034144884</v>
      </c>
    </row>
    <row r="4" spans="1:13" x14ac:dyDescent="0.25">
      <c r="A4" s="256" t="s">
        <v>771</v>
      </c>
      <c r="B4" s="320">
        <v>667.51663413329663</v>
      </c>
      <c r="C4" s="321">
        <v>671.37477720383879</v>
      </c>
      <c r="D4" s="320">
        <v>590.83199562177856</v>
      </c>
      <c r="E4" s="321">
        <v>536.58732007385322</v>
      </c>
      <c r="F4" s="320">
        <v>418.92685059173544</v>
      </c>
      <c r="G4" s="321">
        <v>360.16387106701956</v>
      </c>
      <c r="H4" s="320">
        <v>554.92475536323116</v>
      </c>
      <c r="I4" s="321">
        <v>655.32740290298852</v>
      </c>
      <c r="J4" s="320">
        <v>700.79006418927338</v>
      </c>
      <c r="K4" s="321">
        <v>610.86670607761005</v>
      </c>
      <c r="L4" s="320">
        <v>697.76442733268425</v>
      </c>
      <c r="M4" s="321">
        <v>649.24409710142686</v>
      </c>
    </row>
    <row r="5" spans="1:13" x14ac:dyDescent="0.25">
      <c r="A5" s="256" t="s">
        <v>116</v>
      </c>
      <c r="B5" s="322">
        <f t="shared" ref="B5:M5" si="0">+B3+B4</f>
        <v>1219.616804631675</v>
      </c>
      <c r="C5" s="323">
        <f t="shared" si="0"/>
        <v>1184.4948821779562</v>
      </c>
      <c r="D5" s="322">
        <f t="shared" si="0"/>
        <v>1112.3628549033442</v>
      </c>
      <c r="E5" s="324">
        <f t="shared" si="0"/>
        <v>1042.2102034635504</v>
      </c>
      <c r="F5" s="322">
        <f t="shared" si="0"/>
        <v>998.91480118210438</v>
      </c>
      <c r="G5" s="324">
        <f t="shared" si="0"/>
        <v>1024.3348153552356</v>
      </c>
      <c r="H5" s="322">
        <f t="shared" si="0"/>
        <v>1235.5056123863517</v>
      </c>
      <c r="I5" s="323">
        <f t="shared" si="0"/>
        <v>1373.9965099231781</v>
      </c>
      <c r="J5" s="322">
        <f t="shared" si="0"/>
        <v>1424.5119779530557</v>
      </c>
      <c r="K5" s="324">
        <f t="shared" si="0"/>
        <v>1294.9430961377057</v>
      </c>
      <c r="L5" s="322">
        <f t="shared" si="0"/>
        <v>1318.4723192047015</v>
      </c>
      <c r="M5" s="324">
        <f t="shared" si="0"/>
        <v>1145.1628774428757</v>
      </c>
    </row>
  </sheetData>
  <mergeCells count="1">
    <mergeCell ref="A1:A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Normal="100" workbookViewId="0">
      <selection activeCell="E14" sqref="E14"/>
    </sheetView>
  </sheetViews>
  <sheetFormatPr baseColWidth="10" defaultRowHeight="15" x14ac:dyDescent="0.25"/>
  <cols>
    <col min="2" max="13" width="17.7109375" bestFit="1" customWidth="1"/>
  </cols>
  <sheetData>
    <row r="1" spans="1:13" x14ac:dyDescent="0.25">
      <c r="A1" s="325"/>
      <c r="B1" s="326">
        <v>43466</v>
      </c>
      <c r="C1" s="326">
        <v>43497</v>
      </c>
      <c r="D1" s="326">
        <v>43525</v>
      </c>
      <c r="E1" s="326">
        <v>43556</v>
      </c>
      <c r="F1" s="326">
        <v>43586</v>
      </c>
      <c r="G1" s="326">
        <v>43617</v>
      </c>
      <c r="H1" s="326">
        <v>43647</v>
      </c>
      <c r="I1" s="326">
        <v>43678</v>
      </c>
      <c r="J1" s="326">
        <v>43709</v>
      </c>
      <c r="K1" s="326">
        <v>43739</v>
      </c>
      <c r="L1" s="326">
        <v>43770</v>
      </c>
      <c r="M1" s="326">
        <v>43800</v>
      </c>
    </row>
    <row r="2" spans="1:13" x14ac:dyDescent="0.25">
      <c r="A2" s="327" t="s">
        <v>772</v>
      </c>
      <c r="B2" s="328">
        <v>763474</v>
      </c>
      <c r="C2" s="328">
        <v>776488</v>
      </c>
      <c r="D2" s="328">
        <v>793556</v>
      </c>
      <c r="E2" s="328">
        <v>811985</v>
      </c>
      <c r="F2" s="328">
        <v>829046</v>
      </c>
      <c r="G2" s="328">
        <v>846691</v>
      </c>
      <c r="H2" s="328">
        <v>863580</v>
      </c>
      <c r="I2" s="328">
        <v>879414</v>
      </c>
      <c r="J2" s="328">
        <v>896492</v>
      </c>
      <c r="K2" s="328">
        <v>913917</v>
      </c>
      <c r="L2" s="328">
        <v>932423</v>
      </c>
      <c r="M2" s="328">
        <v>945986</v>
      </c>
    </row>
    <row r="3" spans="1:13" x14ac:dyDescent="0.25">
      <c r="A3" s="329" t="s">
        <v>773</v>
      </c>
      <c r="B3" s="330">
        <v>2653</v>
      </c>
      <c r="C3" s="330">
        <v>2670</v>
      </c>
      <c r="D3" s="330">
        <v>2697</v>
      </c>
      <c r="E3" s="330">
        <v>2721</v>
      </c>
      <c r="F3" s="330">
        <v>2782</v>
      </c>
      <c r="G3" s="330">
        <v>2853</v>
      </c>
      <c r="H3" s="330">
        <v>2922</v>
      </c>
      <c r="I3" s="330">
        <v>3036</v>
      </c>
      <c r="J3" s="330">
        <v>3059</v>
      </c>
      <c r="K3" s="330">
        <v>3137</v>
      </c>
      <c r="L3" s="330">
        <v>3190</v>
      </c>
      <c r="M3" s="330">
        <v>3209</v>
      </c>
    </row>
    <row r="4" spans="1:13" x14ac:dyDescent="0.25">
      <c r="A4" s="327" t="s">
        <v>722</v>
      </c>
      <c r="B4" s="36">
        <v>273</v>
      </c>
      <c r="C4" s="36">
        <v>274</v>
      </c>
      <c r="D4" s="36">
        <v>275</v>
      </c>
      <c r="E4" s="36">
        <v>275</v>
      </c>
      <c r="F4" s="36">
        <v>275</v>
      </c>
      <c r="G4" s="36">
        <v>275</v>
      </c>
      <c r="H4" s="36">
        <v>276</v>
      </c>
      <c r="I4" s="36">
        <v>275</v>
      </c>
      <c r="J4" s="36">
        <v>277</v>
      </c>
      <c r="K4" s="36">
        <v>276</v>
      </c>
      <c r="L4" s="36">
        <v>275</v>
      </c>
      <c r="M4" s="36">
        <v>276</v>
      </c>
    </row>
    <row r="5" spans="1:13" x14ac:dyDescent="0.25">
      <c r="A5" s="329" t="s">
        <v>774</v>
      </c>
      <c r="B5" s="331">
        <f>558+17</f>
        <v>575</v>
      </c>
      <c r="C5" s="331">
        <f>562+16</f>
        <v>578</v>
      </c>
      <c r="D5" s="331">
        <f>568+16</f>
        <v>584</v>
      </c>
      <c r="E5" s="331">
        <f>574+16</f>
        <v>590</v>
      </c>
      <c r="F5" s="331">
        <f>579+16</f>
        <v>595</v>
      </c>
      <c r="G5" s="331">
        <f>578+16</f>
        <v>594</v>
      </c>
      <c r="H5" s="331">
        <f>579+16</f>
        <v>595</v>
      </c>
      <c r="I5" s="331">
        <f>561+16</f>
        <v>577</v>
      </c>
      <c r="J5" s="331">
        <f>584+16</f>
        <v>600</v>
      </c>
      <c r="K5" s="331">
        <f>585+16</f>
        <v>601</v>
      </c>
      <c r="L5" s="331">
        <f>586+16</f>
        <v>602</v>
      </c>
      <c r="M5" s="331">
        <f>599+16</f>
        <v>615</v>
      </c>
    </row>
    <row r="6" spans="1:13" ht="23.25" x14ac:dyDescent="0.25">
      <c r="A6" s="327" t="s">
        <v>775</v>
      </c>
      <c r="B6" s="36">
        <v>22</v>
      </c>
      <c r="C6" s="36">
        <v>24</v>
      </c>
      <c r="D6" s="36">
        <v>24</v>
      </c>
      <c r="E6" s="36">
        <v>24</v>
      </c>
      <c r="F6" s="36">
        <v>24</v>
      </c>
      <c r="G6" s="36">
        <v>24</v>
      </c>
      <c r="H6" s="36">
        <v>24</v>
      </c>
      <c r="I6" s="36">
        <v>24</v>
      </c>
      <c r="J6" s="36">
        <v>24</v>
      </c>
      <c r="K6" s="36">
        <v>24</v>
      </c>
      <c r="L6" s="36">
        <v>23</v>
      </c>
      <c r="M6" s="36">
        <v>24</v>
      </c>
    </row>
    <row r="7" spans="1:13" x14ac:dyDescent="0.25">
      <c r="A7" s="5" t="s">
        <v>116</v>
      </c>
      <c r="B7" s="332">
        <f>+SUM(B2:B6)</f>
        <v>766997</v>
      </c>
      <c r="C7" s="332">
        <f t="shared" ref="C7:M7" si="0">+SUM(C2:C6)</f>
        <v>780034</v>
      </c>
      <c r="D7" s="332">
        <f t="shared" si="0"/>
        <v>797136</v>
      </c>
      <c r="E7" s="332">
        <f t="shared" si="0"/>
        <v>815595</v>
      </c>
      <c r="F7" s="332">
        <f t="shared" si="0"/>
        <v>832722</v>
      </c>
      <c r="G7" s="332">
        <f t="shared" si="0"/>
        <v>850437</v>
      </c>
      <c r="H7" s="332">
        <f t="shared" si="0"/>
        <v>867397</v>
      </c>
      <c r="I7" s="332">
        <f t="shared" si="0"/>
        <v>883326</v>
      </c>
      <c r="J7" s="332">
        <f t="shared" si="0"/>
        <v>900452</v>
      </c>
      <c r="K7" s="332">
        <f t="shared" si="0"/>
        <v>917955</v>
      </c>
      <c r="L7" s="332">
        <f t="shared" si="0"/>
        <v>936513</v>
      </c>
      <c r="M7" s="332">
        <f t="shared" si="0"/>
        <v>950110</v>
      </c>
    </row>
    <row r="8" spans="1:13" x14ac:dyDescent="0.25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9" spans="1:13" ht="62.45" customHeight="1" x14ac:dyDescent="0.25">
      <c r="A9" s="442" t="s">
        <v>776</v>
      </c>
      <c r="B9" s="44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A10" s="325"/>
      <c r="B10" s="326">
        <v>43466</v>
      </c>
      <c r="C10" s="326">
        <v>43497</v>
      </c>
      <c r="D10" s="326">
        <v>43525</v>
      </c>
      <c r="E10" s="326">
        <v>43556</v>
      </c>
      <c r="F10" s="326">
        <v>43586</v>
      </c>
      <c r="G10" s="326">
        <v>43617</v>
      </c>
      <c r="H10" s="326">
        <v>43647</v>
      </c>
      <c r="I10" s="326">
        <v>43678</v>
      </c>
      <c r="J10" s="326">
        <v>43709</v>
      </c>
      <c r="K10" s="326">
        <v>43739</v>
      </c>
      <c r="L10" s="326">
        <v>43770</v>
      </c>
      <c r="M10" s="326">
        <v>43800</v>
      </c>
    </row>
    <row r="11" spans="1:13" x14ac:dyDescent="0.25">
      <c r="A11" s="327" t="s">
        <v>772</v>
      </c>
      <c r="B11" s="333">
        <v>12.771704241782285</v>
      </c>
      <c r="C11" s="333">
        <v>11.188553783233068</v>
      </c>
      <c r="D11" s="333">
        <v>11.907818467026885</v>
      </c>
      <c r="E11" s="333">
        <v>12.702166429317725</v>
      </c>
      <c r="F11" s="333">
        <v>14.660452694049106</v>
      </c>
      <c r="G11" s="333">
        <v>13.538905725988114</v>
      </c>
      <c r="H11" s="333">
        <v>15.503447361053105</v>
      </c>
      <c r="I11" s="333">
        <v>15.204507793795502</v>
      </c>
      <c r="J11" s="333">
        <v>14.903782739044701</v>
      </c>
      <c r="K11" s="333">
        <v>15.851153951284935</v>
      </c>
      <c r="L11" s="333">
        <v>13.724375547814876</v>
      </c>
      <c r="M11" s="333">
        <v>14.73142471619666</v>
      </c>
    </row>
    <row r="12" spans="1:13" x14ac:dyDescent="0.25">
      <c r="A12" s="329" t="s">
        <v>773</v>
      </c>
      <c r="B12" s="334">
        <v>2.9387088181596561</v>
      </c>
      <c r="C12" s="334">
        <v>2.4653147816933938</v>
      </c>
      <c r="D12" s="334">
        <v>2.6150328557268425</v>
      </c>
      <c r="E12" s="334">
        <v>2.8382430156057405</v>
      </c>
      <c r="F12" s="334">
        <v>3.0220505664780282</v>
      </c>
      <c r="G12" s="334">
        <v>2.9612645690238018</v>
      </c>
      <c r="H12" s="334">
        <v>3.4062464473731091</v>
      </c>
      <c r="I12" s="334">
        <v>3.160018916374876</v>
      </c>
      <c r="J12" s="334">
        <v>3.2173306802247703</v>
      </c>
      <c r="K12" s="334">
        <v>3.3517851357066415</v>
      </c>
      <c r="L12" s="334">
        <v>2.9590612461265775</v>
      </c>
      <c r="M12" s="334">
        <v>3.2325883194679563</v>
      </c>
    </row>
    <row r="13" spans="1:13" x14ac:dyDescent="0.25">
      <c r="A13" s="327" t="s">
        <v>722</v>
      </c>
      <c r="B13" s="333">
        <v>63.111507402408279</v>
      </c>
      <c r="C13" s="333">
        <v>58.523874061468575</v>
      </c>
      <c r="D13" s="333">
        <v>65.375661960427607</v>
      </c>
      <c r="E13" s="333">
        <v>61.808197957880161</v>
      </c>
      <c r="F13" s="333">
        <v>65.746197948518116</v>
      </c>
      <c r="G13" s="333">
        <v>62.633180993810804</v>
      </c>
      <c r="H13" s="333">
        <v>64.373399652192361</v>
      </c>
      <c r="I13" s="333">
        <v>64.652713511808926</v>
      </c>
      <c r="J13" s="333">
        <v>62.990623852297091</v>
      </c>
      <c r="K13" s="333">
        <v>65.61286488620253</v>
      </c>
      <c r="L13" s="333">
        <v>63.675809543359897</v>
      </c>
      <c r="M13" s="333">
        <v>66.751396062344483</v>
      </c>
    </row>
    <row r="14" spans="1:13" x14ac:dyDescent="0.25">
      <c r="A14" s="329" t="s">
        <v>774</v>
      </c>
      <c r="B14" s="334">
        <f>116.938385341697+0.36</f>
        <v>117.298385341697</v>
      </c>
      <c r="C14" s="334">
        <f>104.219411564114+0.33</f>
        <v>104.549411564114</v>
      </c>
      <c r="D14" s="334">
        <f>126.324144264161+0.36</f>
        <v>126.68414426416101</v>
      </c>
      <c r="E14" s="334">
        <f>134.067249530283+0.35</f>
        <v>134.41724953028299</v>
      </c>
      <c r="F14" s="334">
        <f>143.018862283108+0.41</f>
        <v>143.428862283108</v>
      </c>
      <c r="G14" s="334">
        <f>123.712656395253+0.39</f>
        <v>124.10265639525301</v>
      </c>
      <c r="H14" s="334">
        <f>133.800145672037+0.4</f>
        <v>134.200145672037</v>
      </c>
      <c r="I14" s="334">
        <f>132.923456597585+0.41</f>
        <v>133.33345659758498</v>
      </c>
      <c r="J14" s="334">
        <f>135.129868533241+0.38</f>
        <v>135.50986853324099</v>
      </c>
      <c r="K14" s="334">
        <f>135.133801385604+0.38</f>
        <v>135.51380138560398</v>
      </c>
      <c r="L14" s="334">
        <f>136.289720251235+0.37</f>
        <v>136.659720251235</v>
      </c>
      <c r="M14" s="334">
        <f>119.586646839619+0.38</f>
        <v>119.96664683961899</v>
      </c>
    </row>
    <row r="15" spans="1:13" ht="23.25" x14ac:dyDescent="0.25">
      <c r="A15" s="327" t="s">
        <v>775</v>
      </c>
      <c r="B15" s="333">
        <v>327.36928944900694</v>
      </c>
      <c r="C15" s="333">
        <v>255.95096929625748</v>
      </c>
      <c r="D15" s="333">
        <v>286.92373884412842</v>
      </c>
      <c r="E15" s="333">
        <v>258.26187325692393</v>
      </c>
      <c r="F15" s="333">
        <v>323.76353510491742</v>
      </c>
      <c r="G15" s="333">
        <v>409.24501393757163</v>
      </c>
      <c r="H15" s="333">
        <v>437.55146750645793</v>
      </c>
      <c r="I15" s="333">
        <v>723.32172384994556</v>
      </c>
      <c r="J15" s="333">
        <v>467.42842386856972</v>
      </c>
      <c r="K15" s="333">
        <v>445.75302483084528</v>
      </c>
      <c r="L15" s="333">
        <v>363.27314973329135</v>
      </c>
      <c r="M15" s="333">
        <v>267.96148269844923</v>
      </c>
    </row>
    <row r="16" spans="1:13" x14ac:dyDescent="0.25">
      <c r="A16" s="5" t="s">
        <v>116</v>
      </c>
      <c r="B16" s="335">
        <f>+SUM(B11:B15)</f>
        <v>523.48959525305418</v>
      </c>
      <c r="C16" s="335">
        <f t="shared" ref="C16:M16" si="1">+SUM(C11:C15)</f>
        <v>432.67812348676648</v>
      </c>
      <c r="D16" s="335">
        <f t="shared" si="1"/>
        <v>493.50639639147073</v>
      </c>
      <c r="E16" s="335">
        <f t="shared" si="1"/>
        <v>470.02773019001052</v>
      </c>
      <c r="F16" s="335">
        <f t="shared" si="1"/>
        <v>550.62109859707061</v>
      </c>
      <c r="G16" s="335">
        <f t="shared" si="1"/>
        <v>612.48102162164741</v>
      </c>
      <c r="H16" s="335">
        <f t="shared" si="1"/>
        <v>655.03470663911344</v>
      </c>
      <c r="I16" s="335">
        <f t="shared" si="1"/>
        <v>939.67242066950985</v>
      </c>
      <c r="J16" s="335">
        <f t="shared" si="1"/>
        <v>684.05002967337725</v>
      </c>
      <c r="K16" s="335">
        <f t="shared" si="1"/>
        <v>666.0826301896434</v>
      </c>
      <c r="L16" s="335">
        <f t="shared" si="1"/>
        <v>580.29211632182773</v>
      </c>
      <c r="M16" s="335">
        <f t="shared" si="1"/>
        <v>472.64353863607732</v>
      </c>
    </row>
    <row r="17" spans="1:13" x14ac:dyDescent="0.25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</row>
    <row r="18" spans="1:13" ht="93.6" customHeight="1" x14ac:dyDescent="0.25">
      <c r="A18" s="442" t="s">
        <v>777</v>
      </c>
      <c r="B18" s="442"/>
      <c r="C18" s="442"/>
      <c r="D18" s="262"/>
      <c r="E18" s="262"/>
      <c r="F18" s="262"/>
      <c r="G18" s="262"/>
      <c r="H18" s="442" t="s">
        <v>778</v>
      </c>
      <c r="I18" s="442"/>
      <c r="J18" s="262"/>
      <c r="K18" s="262"/>
      <c r="L18" s="262"/>
      <c r="M18" s="262"/>
    </row>
    <row r="19" spans="1:13" x14ac:dyDescent="0.25">
      <c r="A19" s="325"/>
      <c r="B19" s="325">
        <v>2015</v>
      </c>
      <c r="C19" s="325">
        <v>2016</v>
      </c>
      <c r="D19" s="325">
        <v>2017</v>
      </c>
      <c r="E19" s="325">
        <v>2018</v>
      </c>
      <c r="F19" s="325">
        <v>2019</v>
      </c>
      <c r="G19" s="262"/>
      <c r="H19" s="325"/>
      <c r="I19" s="325">
        <v>2015</v>
      </c>
      <c r="J19" s="325">
        <v>2016</v>
      </c>
      <c r="K19" s="325">
        <v>2017</v>
      </c>
      <c r="L19" s="325">
        <v>2018</v>
      </c>
      <c r="M19" s="325">
        <v>2019</v>
      </c>
    </row>
    <row r="20" spans="1:13" x14ac:dyDescent="0.25">
      <c r="A20" s="327" t="s">
        <v>772</v>
      </c>
      <c r="B20" s="328">
        <v>303367</v>
      </c>
      <c r="C20" s="328">
        <v>391510</v>
      </c>
      <c r="D20" s="328">
        <v>520845</v>
      </c>
      <c r="E20" s="328">
        <v>745642</v>
      </c>
      <c r="F20" s="328">
        <v>945986</v>
      </c>
      <c r="G20" s="262"/>
      <c r="H20" s="327" t="s">
        <v>772</v>
      </c>
      <c r="I20" s="36">
        <v>5.45</v>
      </c>
      <c r="J20" s="36">
        <v>7.06</v>
      </c>
      <c r="K20" s="36">
        <v>9</v>
      </c>
      <c r="L20" s="36">
        <v>11.07</v>
      </c>
      <c r="M20" s="36">
        <v>13.91</v>
      </c>
    </row>
    <row r="21" spans="1:13" x14ac:dyDescent="0.25">
      <c r="A21" s="329" t="s">
        <v>773</v>
      </c>
      <c r="B21" s="330">
        <v>1743</v>
      </c>
      <c r="C21" s="330">
        <v>2053</v>
      </c>
      <c r="D21" s="330">
        <v>2363</v>
      </c>
      <c r="E21" s="330">
        <v>2594</v>
      </c>
      <c r="F21" s="330">
        <v>3209</v>
      </c>
      <c r="G21" s="262"/>
      <c r="H21" s="329" t="s">
        <v>773</v>
      </c>
      <c r="I21" s="331">
        <v>1.83</v>
      </c>
      <c r="J21" s="331">
        <v>2.08</v>
      </c>
      <c r="K21" s="331">
        <v>2.4300000000000002</v>
      </c>
      <c r="L21" s="331">
        <v>2.66</v>
      </c>
      <c r="M21" s="331">
        <v>3.02</v>
      </c>
    </row>
    <row r="22" spans="1:13" x14ac:dyDescent="0.25">
      <c r="A22" s="327" t="s">
        <v>722</v>
      </c>
      <c r="B22" s="36">
        <v>234</v>
      </c>
      <c r="C22" s="36">
        <v>240</v>
      </c>
      <c r="D22" s="36">
        <v>541</v>
      </c>
      <c r="E22" s="36">
        <v>272</v>
      </c>
      <c r="F22" s="36">
        <v>276</v>
      </c>
      <c r="G22" s="262"/>
      <c r="H22" s="327" t="s">
        <v>722</v>
      </c>
      <c r="I22" s="36">
        <v>63.01</v>
      </c>
      <c r="J22" s="36">
        <v>63.13</v>
      </c>
      <c r="K22" s="36">
        <v>65.23</v>
      </c>
      <c r="L22" s="36">
        <v>64.290000000000006</v>
      </c>
      <c r="M22" s="36">
        <v>63.82</v>
      </c>
    </row>
    <row r="23" spans="1:13" x14ac:dyDescent="0.25">
      <c r="A23" s="329" t="s">
        <v>774</v>
      </c>
      <c r="B23" s="331">
        <v>493</v>
      </c>
      <c r="C23" s="331">
        <v>516</v>
      </c>
      <c r="D23" s="331">
        <v>257</v>
      </c>
      <c r="E23" s="331">
        <v>573</v>
      </c>
      <c r="F23" s="331">
        <v>615</v>
      </c>
      <c r="G23" s="262"/>
      <c r="H23" s="329" t="s">
        <v>774</v>
      </c>
      <c r="I23" s="331">
        <v>107.16</v>
      </c>
      <c r="J23" s="331">
        <v>107.7</v>
      </c>
      <c r="K23" s="331">
        <v>123.01</v>
      </c>
      <c r="L23" s="331">
        <v>133.21</v>
      </c>
      <c r="M23" s="331">
        <v>128.58000000000001</v>
      </c>
    </row>
    <row r="24" spans="1:13" ht="23.25" x14ac:dyDescent="0.25">
      <c r="A24" s="327" t="s">
        <v>775</v>
      </c>
      <c r="B24" s="36">
        <v>18</v>
      </c>
      <c r="C24" s="36">
        <v>19</v>
      </c>
      <c r="D24" s="36">
        <v>22</v>
      </c>
      <c r="E24" s="36">
        <v>22</v>
      </c>
      <c r="F24" s="36">
        <v>24</v>
      </c>
      <c r="G24" s="262"/>
      <c r="H24" s="327" t="s">
        <v>775</v>
      </c>
      <c r="I24" s="36">
        <v>359.75</v>
      </c>
      <c r="J24" s="36">
        <v>401.85</v>
      </c>
      <c r="K24" s="36">
        <v>332.84</v>
      </c>
      <c r="L24" s="36">
        <v>343.05</v>
      </c>
      <c r="M24" s="36">
        <v>381.66</v>
      </c>
    </row>
    <row r="25" spans="1:13" x14ac:dyDescent="0.25">
      <c r="A25" s="5" t="s">
        <v>116</v>
      </c>
      <c r="B25" s="332">
        <v>305855</v>
      </c>
      <c r="C25" s="332">
        <v>394338</v>
      </c>
      <c r="D25" s="332">
        <v>524028</v>
      </c>
      <c r="E25" s="332">
        <v>749103</v>
      </c>
      <c r="F25" s="332">
        <f>+SUM(F20:F24)</f>
        <v>950110</v>
      </c>
      <c r="G25" s="262"/>
      <c r="H25" s="5" t="s">
        <v>116</v>
      </c>
      <c r="I25" s="6">
        <v>531.37</v>
      </c>
      <c r="J25" s="6">
        <v>537.20000000000005</v>
      </c>
      <c r="K25" s="6">
        <v>581.82000000000005</v>
      </c>
      <c r="L25" s="6">
        <v>532.51</v>
      </c>
      <c r="M25" s="6">
        <f>+SUM(M20:M24)</f>
        <v>590.99</v>
      </c>
    </row>
    <row r="26" spans="1:13" x14ac:dyDescent="0.25">
      <c r="A26" s="4"/>
      <c r="B26" s="11"/>
      <c r="C26" s="11"/>
      <c r="D26" s="11"/>
      <c r="E26" s="11"/>
      <c r="F26" s="11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mergeCells count="3">
    <mergeCell ref="A9:B9"/>
    <mergeCell ref="A18:C18"/>
    <mergeCell ref="H18:I1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E14" sqref="E14"/>
    </sheetView>
  </sheetViews>
  <sheetFormatPr baseColWidth="10" defaultRowHeight="15" x14ac:dyDescent="0.25"/>
  <cols>
    <col min="2" max="2" width="16" bestFit="1" customWidth="1"/>
    <col min="3" max="3" width="15.7109375" bestFit="1" customWidth="1"/>
    <col min="4" max="4" width="15.85546875" bestFit="1" customWidth="1"/>
    <col min="5" max="5" width="15.42578125" bestFit="1" customWidth="1"/>
    <col min="6" max="6" width="16.42578125" bestFit="1" customWidth="1"/>
    <col min="7" max="7" width="15.42578125" bestFit="1" customWidth="1"/>
    <col min="8" max="8" width="15.140625" bestFit="1" customWidth="1"/>
    <col min="9" max="9" width="16.28515625" bestFit="1" customWidth="1"/>
    <col min="10" max="10" width="15.7109375" bestFit="1" customWidth="1"/>
    <col min="11" max="11" width="15.85546875" bestFit="1" customWidth="1"/>
    <col min="12" max="12" width="16.28515625" bestFit="1" customWidth="1"/>
    <col min="13" max="13" width="16.42578125" bestFit="1" customWidth="1"/>
  </cols>
  <sheetData>
    <row r="1" spans="1:13" x14ac:dyDescent="0.25">
      <c r="A1" s="240"/>
      <c r="B1" s="326">
        <v>43466</v>
      </c>
      <c r="C1" s="326">
        <v>43497</v>
      </c>
      <c r="D1" s="326">
        <v>43525</v>
      </c>
      <c r="E1" s="326">
        <v>43556</v>
      </c>
      <c r="F1" s="326">
        <v>43586</v>
      </c>
      <c r="G1" s="326">
        <v>43617</v>
      </c>
      <c r="H1" s="326">
        <v>43647</v>
      </c>
      <c r="I1" s="326">
        <v>43678</v>
      </c>
      <c r="J1" s="326">
        <v>43709</v>
      </c>
      <c r="K1" s="326">
        <v>43739</v>
      </c>
      <c r="L1" s="326">
        <v>43770</v>
      </c>
      <c r="M1" s="326">
        <v>43800</v>
      </c>
    </row>
    <row r="2" spans="1:13" x14ac:dyDescent="0.25">
      <c r="A2" s="327" t="s">
        <v>772</v>
      </c>
      <c r="B2" s="328">
        <v>54652</v>
      </c>
      <c r="C2" s="328">
        <v>55032</v>
      </c>
      <c r="D2" s="328">
        <v>55564</v>
      </c>
      <c r="E2" s="328">
        <v>56293</v>
      </c>
      <c r="F2" s="328">
        <v>57263</v>
      </c>
      <c r="G2" s="328">
        <v>58026</v>
      </c>
      <c r="H2" s="328">
        <v>58748</v>
      </c>
      <c r="I2" s="328">
        <v>59461</v>
      </c>
      <c r="J2" s="328">
        <v>60022</v>
      </c>
      <c r="K2" s="328">
        <v>60450</v>
      </c>
      <c r="L2" s="328">
        <v>60928</v>
      </c>
      <c r="M2" s="328">
        <v>61249</v>
      </c>
    </row>
    <row r="3" spans="1:13" x14ac:dyDescent="0.25">
      <c r="A3" s="329" t="s">
        <v>773</v>
      </c>
      <c r="B3" s="331">
        <v>128</v>
      </c>
      <c r="C3" s="331">
        <v>128</v>
      </c>
      <c r="D3" s="331">
        <v>128</v>
      </c>
      <c r="E3" s="331">
        <v>128</v>
      </c>
      <c r="F3" s="331">
        <v>128</v>
      </c>
      <c r="G3" s="331">
        <v>130</v>
      </c>
      <c r="H3" s="331">
        <v>130</v>
      </c>
      <c r="I3" s="331">
        <v>133</v>
      </c>
      <c r="J3" s="331">
        <v>135</v>
      </c>
      <c r="K3" s="331">
        <v>136</v>
      </c>
      <c r="L3" s="331">
        <v>138</v>
      </c>
      <c r="M3" s="331">
        <v>143</v>
      </c>
    </row>
    <row r="4" spans="1:13" x14ac:dyDescent="0.25">
      <c r="A4" s="327" t="s">
        <v>722</v>
      </c>
      <c r="B4" s="36">
        <v>27</v>
      </c>
      <c r="C4" s="36">
        <v>27</v>
      </c>
      <c r="D4" s="36">
        <v>27</v>
      </c>
      <c r="E4" s="36">
        <v>27</v>
      </c>
      <c r="F4" s="36">
        <v>27</v>
      </c>
      <c r="G4" s="36">
        <v>27</v>
      </c>
      <c r="H4" s="36">
        <v>27</v>
      </c>
      <c r="I4" s="36">
        <v>27</v>
      </c>
      <c r="J4" s="36">
        <v>27</v>
      </c>
      <c r="K4" s="36">
        <v>27</v>
      </c>
      <c r="L4" s="36">
        <v>27</v>
      </c>
      <c r="M4" s="36">
        <v>28</v>
      </c>
    </row>
    <row r="5" spans="1:13" x14ac:dyDescent="0.25">
      <c r="A5" s="329" t="s">
        <v>774</v>
      </c>
      <c r="B5" s="331">
        <v>15</v>
      </c>
      <c r="C5" s="331">
        <v>15</v>
      </c>
      <c r="D5" s="331">
        <v>15</v>
      </c>
      <c r="E5" s="331">
        <v>15</v>
      </c>
      <c r="F5" s="331">
        <v>15</v>
      </c>
      <c r="G5" s="331">
        <v>15</v>
      </c>
      <c r="H5" s="331">
        <v>15</v>
      </c>
      <c r="I5" s="331">
        <v>15</v>
      </c>
      <c r="J5" s="331">
        <v>15</v>
      </c>
      <c r="K5" s="331">
        <v>15</v>
      </c>
      <c r="L5" s="331">
        <v>15</v>
      </c>
      <c r="M5" s="331">
        <v>15</v>
      </c>
    </row>
    <row r="6" spans="1:13" ht="23.25" x14ac:dyDescent="0.25">
      <c r="A6" s="327" t="s">
        <v>775</v>
      </c>
      <c r="B6" s="36">
        <v>8</v>
      </c>
      <c r="C6" s="36">
        <v>8</v>
      </c>
      <c r="D6" s="36">
        <v>8</v>
      </c>
      <c r="E6" s="36">
        <v>8</v>
      </c>
      <c r="F6" s="36">
        <v>9</v>
      </c>
      <c r="G6" s="36">
        <v>9</v>
      </c>
      <c r="H6" s="36">
        <v>9</v>
      </c>
      <c r="I6" s="36">
        <v>9</v>
      </c>
      <c r="J6" s="36">
        <v>9</v>
      </c>
      <c r="K6" s="36">
        <v>9</v>
      </c>
      <c r="L6" s="36">
        <v>9</v>
      </c>
      <c r="M6" s="36">
        <v>9</v>
      </c>
    </row>
    <row r="7" spans="1:13" x14ac:dyDescent="0.25">
      <c r="A7" s="5" t="s">
        <v>116</v>
      </c>
      <c r="B7" s="332">
        <f>+SUM(B2:B6)</f>
        <v>54830</v>
      </c>
      <c r="C7" s="332">
        <f t="shared" ref="C7:M7" si="0">+SUM(C2:C6)</f>
        <v>55210</v>
      </c>
      <c r="D7" s="332">
        <f t="shared" si="0"/>
        <v>55742</v>
      </c>
      <c r="E7" s="332">
        <f t="shared" si="0"/>
        <v>56471</v>
      </c>
      <c r="F7" s="332">
        <f t="shared" si="0"/>
        <v>57442</v>
      </c>
      <c r="G7" s="332">
        <f t="shared" si="0"/>
        <v>58207</v>
      </c>
      <c r="H7" s="332">
        <f t="shared" si="0"/>
        <v>58929</v>
      </c>
      <c r="I7" s="332">
        <f t="shared" si="0"/>
        <v>59645</v>
      </c>
      <c r="J7" s="332">
        <f t="shared" si="0"/>
        <v>60208</v>
      </c>
      <c r="K7" s="332">
        <f t="shared" si="0"/>
        <v>60637</v>
      </c>
      <c r="L7" s="332">
        <f t="shared" si="0"/>
        <v>61117</v>
      </c>
      <c r="M7" s="332">
        <f t="shared" si="0"/>
        <v>61444</v>
      </c>
    </row>
    <row r="8" spans="1:13" x14ac:dyDescent="0.25">
      <c r="A8" s="262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1:13" ht="62.45" customHeight="1" x14ac:dyDescent="0.25">
      <c r="A9" s="443" t="s">
        <v>779</v>
      </c>
      <c r="B9" s="443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A10" s="325"/>
      <c r="B10" s="326">
        <v>43466</v>
      </c>
      <c r="C10" s="326">
        <v>43497</v>
      </c>
      <c r="D10" s="326">
        <v>43525</v>
      </c>
      <c r="E10" s="326">
        <v>43556</v>
      </c>
      <c r="F10" s="326">
        <v>43586</v>
      </c>
      <c r="G10" s="326">
        <v>43617</v>
      </c>
      <c r="H10" s="326">
        <v>43647</v>
      </c>
      <c r="I10" s="326">
        <v>43678</v>
      </c>
      <c r="J10" s="326">
        <v>43709</v>
      </c>
      <c r="K10" s="326">
        <v>43739</v>
      </c>
      <c r="L10" s="326">
        <v>43770</v>
      </c>
      <c r="M10" s="326">
        <v>43800</v>
      </c>
    </row>
    <row r="11" spans="1:13" x14ac:dyDescent="0.25">
      <c r="A11" s="327" t="s">
        <v>772</v>
      </c>
      <c r="B11" s="333">
        <v>0.81521394683235171</v>
      </c>
      <c r="C11" s="333">
        <v>0.82355125911457505</v>
      </c>
      <c r="D11" s="333">
        <v>0.74028610519995164</v>
      </c>
      <c r="E11" s="333">
        <v>0.81419045250968025</v>
      </c>
      <c r="F11" s="333">
        <v>0.82935044340883857</v>
      </c>
      <c r="G11" s="333">
        <v>0.87520047663460654</v>
      </c>
      <c r="H11" s="333">
        <v>0.90457486894883443</v>
      </c>
      <c r="I11" s="333">
        <v>0.90004010338246987</v>
      </c>
      <c r="J11" s="333">
        <v>0.94761047787752406</v>
      </c>
      <c r="K11" s="333">
        <v>0.91109302148115789</v>
      </c>
      <c r="L11" s="333">
        <v>0.93523034244061776</v>
      </c>
      <c r="M11" s="333">
        <v>0.82980760433675826</v>
      </c>
    </row>
    <row r="12" spans="1:13" x14ac:dyDescent="0.25">
      <c r="A12" s="329" t="s">
        <v>773</v>
      </c>
      <c r="B12" s="334">
        <v>0.12261089381661934</v>
      </c>
      <c r="C12" s="334">
        <v>0.13337179168698932</v>
      </c>
      <c r="D12" s="334">
        <v>0.12328934558646448</v>
      </c>
      <c r="E12" s="334">
        <v>0.13934537826562668</v>
      </c>
      <c r="F12" s="334">
        <v>0.13612148913058711</v>
      </c>
      <c r="G12" s="334">
        <v>0.14517399391978666</v>
      </c>
      <c r="H12" s="334">
        <v>0.15933671524616128</v>
      </c>
      <c r="I12" s="334">
        <v>0.17255065594029997</v>
      </c>
      <c r="J12" s="334">
        <v>0.18701355537922332</v>
      </c>
      <c r="K12" s="334">
        <v>0.16845986152664519</v>
      </c>
      <c r="L12" s="334">
        <v>0.18126316171911339</v>
      </c>
      <c r="M12" s="334">
        <v>0.15531706280481292</v>
      </c>
    </row>
    <row r="13" spans="1:13" x14ac:dyDescent="0.25">
      <c r="A13" s="327" t="s">
        <v>722</v>
      </c>
      <c r="B13" s="333">
        <v>2.1707506151325808</v>
      </c>
      <c r="C13" s="333">
        <v>2.3254684970235715</v>
      </c>
      <c r="D13" s="333">
        <v>2.0115930933570967</v>
      </c>
      <c r="E13" s="333">
        <v>2.1747950941666669</v>
      </c>
      <c r="F13" s="333">
        <v>2.1950505256412907</v>
      </c>
      <c r="G13" s="333">
        <v>2.4860856701269993</v>
      </c>
      <c r="H13" s="333">
        <v>2.4018372846006448</v>
      </c>
      <c r="I13" s="333">
        <v>2.586332512509677</v>
      </c>
      <c r="J13" s="333">
        <v>2.8334913819406666</v>
      </c>
      <c r="K13" s="333">
        <v>2.9379527074193548</v>
      </c>
      <c r="L13" s="333">
        <v>3.321125762546</v>
      </c>
      <c r="M13" s="333">
        <v>2.7762901224396774</v>
      </c>
    </row>
    <row r="14" spans="1:13" x14ac:dyDescent="0.25">
      <c r="A14" s="329" t="s">
        <v>774</v>
      </c>
      <c r="B14" s="334">
        <v>10.343020926293869</v>
      </c>
      <c r="C14" s="334">
        <v>7.3315701722135724</v>
      </c>
      <c r="D14" s="334">
        <v>4.9180781514406453</v>
      </c>
      <c r="E14" s="334">
        <v>4.6366290032490003</v>
      </c>
      <c r="F14" s="334">
        <v>5.0326890649683875</v>
      </c>
      <c r="G14" s="334">
        <v>12.828643632488998</v>
      </c>
      <c r="H14" s="334">
        <v>12.930015304070324</v>
      </c>
      <c r="I14" s="334">
        <v>5.1037831915929024</v>
      </c>
      <c r="J14" s="334">
        <v>5.2363898154156665</v>
      </c>
      <c r="K14" s="334">
        <v>5.0099669227806451</v>
      </c>
      <c r="L14" s="334">
        <v>5.6618091647263329</v>
      </c>
      <c r="M14" s="334">
        <v>6.7652575331067748</v>
      </c>
    </row>
    <row r="15" spans="1:13" ht="23.25" x14ac:dyDescent="0.25">
      <c r="A15" s="327" t="s">
        <v>775</v>
      </c>
      <c r="B15" s="333">
        <v>38.191349020930389</v>
      </c>
      <c r="C15" s="333">
        <v>42.048345908521497</v>
      </c>
      <c r="D15" s="333">
        <v>34.28874898990793</v>
      </c>
      <c r="E15" s="333">
        <v>38.810168537742733</v>
      </c>
      <c r="F15" s="333">
        <v>38.184307047895814</v>
      </c>
      <c r="G15" s="333">
        <v>41.372508468507334</v>
      </c>
      <c r="H15" s="333">
        <v>38.814088367383548</v>
      </c>
      <c r="I15" s="333">
        <v>39.362140832172003</v>
      </c>
      <c r="J15" s="333">
        <v>40.874413411785739</v>
      </c>
      <c r="K15" s="333">
        <v>38.308863028168709</v>
      </c>
      <c r="L15" s="333">
        <v>40.923427819434394</v>
      </c>
      <c r="M15" s="333">
        <v>38.25668617283516</v>
      </c>
    </row>
    <row r="16" spans="1:13" x14ac:dyDescent="0.25">
      <c r="A16" s="5" t="s">
        <v>116</v>
      </c>
      <c r="B16" s="335">
        <f>+SUM(B11:B15)</f>
        <v>51.642945403005811</v>
      </c>
      <c r="C16" s="335">
        <f t="shared" ref="C16:M16" si="1">+SUM(C11:C15)</f>
        <v>52.662307628560207</v>
      </c>
      <c r="D16" s="335">
        <f t="shared" si="1"/>
        <v>42.081995685492089</v>
      </c>
      <c r="E16" s="335">
        <f t="shared" si="1"/>
        <v>46.575128465933709</v>
      </c>
      <c r="F16" s="335">
        <f t="shared" si="1"/>
        <v>46.377518571044916</v>
      </c>
      <c r="G16" s="335">
        <f t="shared" si="1"/>
        <v>57.707612241677722</v>
      </c>
      <c r="H16" s="335">
        <f t="shared" si="1"/>
        <v>55.209852540249514</v>
      </c>
      <c r="I16" s="335">
        <f t="shared" si="1"/>
        <v>48.124847295597348</v>
      </c>
      <c r="J16" s="335">
        <f t="shared" si="1"/>
        <v>50.078918642398818</v>
      </c>
      <c r="K16" s="335">
        <f t="shared" si="1"/>
        <v>47.336335541376513</v>
      </c>
      <c r="L16" s="335">
        <f t="shared" si="1"/>
        <v>51.022856250866454</v>
      </c>
      <c r="M16" s="335">
        <f t="shared" si="1"/>
        <v>48.783358495523181</v>
      </c>
    </row>
    <row r="17" spans="1:13" x14ac:dyDescent="0.25">
      <c r="A17" s="337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</row>
    <row r="18" spans="1:13" ht="93.6" customHeight="1" x14ac:dyDescent="0.25">
      <c r="A18" s="443" t="s">
        <v>780</v>
      </c>
      <c r="B18" s="443"/>
      <c r="C18" s="443"/>
      <c r="D18" s="262"/>
      <c r="E18" s="262"/>
      <c r="F18" s="262"/>
      <c r="G18" s="262"/>
      <c r="H18" s="442" t="s">
        <v>781</v>
      </c>
      <c r="I18" s="442"/>
      <c r="J18" s="442"/>
      <c r="K18" s="262"/>
      <c r="L18" s="262"/>
      <c r="M18" s="262"/>
    </row>
    <row r="19" spans="1:13" x14ac:dyDescent="0.25">
      <c r="A19" s="325"/>
      <c r="B19" s="325">
        <v>2015</v>
      </c>
      <c r="C19" s="325">
        <v>2016</v>
      </c>
      <c r="D19" s="325">
        <v>2017</v>
      </c>
      <c r="E19" s="325">
        <v>2018</v>
      </c>
      <c r="F19" s="325">
        <v>2019</v>
      </c>
      <c r="G19" s="262"/>
      <c r="H19" s="240"/>
      <c r="I19" s="325">
        <v>2015</v>
      </c>
      <c r="J19" s="325">
        <v>2016</v>
      </c>
      <c r="K19" s="325">
        <v>2017</v>
      </c>
      <c r="L19" s="325">
        <v>2018</v>
      </c>
      <c r="M19" s="325">
        <v>2019</v>
      </c>
    </row>
    <row r="20" spans="1:13" x14ac:dyDescent="0.25">
      <c r="A20" s="327" t="s">
        <v>772</v>
      </c>
      <c r="B20" s="328">
        <v>36887</v>
      </c>
      <c r="C20" s="328">
        <v>39435</v>
      </c>
      <c r="D20" s="328">
        <v>45328</v>
      </c>
      <c r="E20" s="328">
        <v>54213</v>
      </c>
      <c r="F20" s="328">
        <v>61249</v>
      </c>
      <c r="G20" s="262"/>
      <c r="H20" s="327" t="s">
        <v>772</v>
      </c>
      <c r="I20" s="339">
        <v>0.50921976699445004</v>
      </c>
      <c r="J20" s="339">
        <v>0.56938747289922664</v>
      </c>
      <c r="K20" s="339">
        <v>0.63563451081269939</v>
      </c>
      <c r="L20" s="339">
        <v>0.75741240362904116</v>
      </c>
      <c r="M20" s="339">
        <v>0.87161934301821709</v>
      </c>
    </row>
    <row r="21" spans="1:13" x14ac:dyDescent="0.25">
      <c r="A21" s="329" t="s">
        <v>773</v>
      </c>
      <c r="B21" s="331">
        <v>83</v>
      </c>
      <c r="C21" s="331">
        <v>92</v>
      </c>
      <c r="D21" s="331">
        <v>98</v>
      </c>
      <c r="E21" s="331">
        <v>128</v>
      </c>
      <c r="F21" s="331">
        <v>143</v>
      </c>
      <c r="G21" s="262"/>
      <c r="H21" s="329" t="s">
        <v>773</v>
      </c>
      <c r="I21" s="340">
        <v>4.0196957958407394E-2</v>
      </c>
      <c r="J21" s="340">
        <v>6.7831169738227379E-2</v>
      </c>
      <c r="K21" s="340">
        <v>8.1806580796098871E-2</v>
      </c>
      <c r="L21" s="340">
        <v>0.10540865411567808</v>
      </c>
      <c r="M21" s="340">
        <v>0.1520179714831438</v>
      </c>
    </row>
    <row r="22" spans="1:13" x14ac:dyDescent="0.25">
      <c r="A22" s="327" t="s">
        <v>722</v>
      </c>
      <c r="B22" s="36">
        <v>15</v>
      </c>
      <c r="C22" s="36">
        <v>20</v>
      </c>
      <c r="D22" s="36">
        <v>21</v>
      </c>
      <c r="E22" s="36">
        <v>27</v>
      </c>
      <c r="F22" s="36">
        <v>28</v>
      </c>
      <c r="G22" s="262"/>
      <c r="H22" s="327" t="s">
        <v>722</v>
      </c>
      <c r="I22" s="339">
        <v>0.95421360669238353</v>
      </c>
      <c r="J22" s="339">
        <v>2.0456088389213973</v>
      </c>
      <c r="K22" s="339">
        <v>2.1969805761316712</v>
      </c>
      <c r="L22" s="339">
        <v>2.2131466055134279</v>
      </c>
      <c r="M22" s="339">
        <v>2.5179508708881646</v>
      </c>
    </row>
    <row r="23" spans="1:13" x14ac:dyDescent="0.25">
      <c r="A23" s="329" t="s">
        <v>774</v>
      </c>
      <c r="B23" s="331">
        <v>14</v>
      </c>
      <c r="C23" s="331">
        <v>15</v>
      </c>
      <c r="D23" s="331">
        <v>15</v>
      </c>
      <c r="E23" s="331">
        <v>15</v>
      </c>
      <c r="F23" s="331">
        <v>15</v>
      </c>
      <c r="G23" s="262"/>
      <c r="H23" s="329" t="s">
        <v>774</v>
      </c>
      <c r="I23" s="340">
        <v>6.190016214935425</v>
      </c>
      <c r="J23" s="340">
        <v>5.5069014641039207</v>
      </c>
      <c r="K23" s="340">
        <v>7.4360686106824847</v>
      </c>
      <c r="L23" s="340">
        <v>7.7441662718701094</v>
      </c>
      <c r="M23" s="340">
        <v>7.1489733074527138</v>
      </c>
    </row>
    <row r="24" spans="1:13" ht="23.25" x14ac:dyDescent="0.25">
      <c r="A24" s="327" t="s">
        <v>775</v>
      </c>
      <c r="B24" s="36">
        <v>5</v>
      </c>
      <c r="C24" s="36">
        <v>6</v>
      </c>
      <c r="D24" s="36">
        <v>6</v>
      </c>
      <c r="E24" s="36">
        <v>8</v>
      </c>
      <c r="F24" s="36">
        <v>9</v>
      </c>
      <c r="G24" s="287"/>
      <c r="H24" s="327" t="s">
        <v>775</v>
      </c>
      <c r="I24" s="339">
        <v>20.990056854001537</v>
      </c>
      <c r="J24" s="339">
        <v>31.970795198502493</v>
      </c>
      <c r="K24" s="339">
        <v>37.52231403908084</v>
      </c>
      <c r="L24" s="339">
        <v>37.666018448645758</v>
      </c>
      <c r="M24" s="339">
        <v>39.080440876166598</v>
      </c>
    </row>
    <row r="25" spans="1:13" x14ac:dyDescent="0.25">
      <c r="A25" s="5" t="s">
        <v>116</v>
      </c>
      <c r="B25" s="332">
        <v>37004</v>
      </c>
      <c r="C25" s="332">
        <v>39568</v>
      </c>
      <c r="D25" s="332">
        <v>45468</v>
      </c>
      <c r="E25" s="332">
        <v>54391</v>
      </c>
      <c r="F25" s="332">
        <f>+SUM(F20:F24)</f>
        <v>61444</v>
      </c>
      <c r="G25" s="262"/>
      <c r="H25" s="5" t="s">
        <v>116</v>
      </c>
      <c r="I25" s="341">
        <f>+SUM(I20:I24)</f>
        <v>28.683703400582203</v>
      </c>
      <c r="J25" s="341">
        <f t="shared" ref="J25:M25" si="2">+SUM(J20:J24)</f>
        <v>40.160524144165265</v>
      </c>
      <c r="K25" s="341">
        <f t="shared" si="2"/>
        <v>47.872804317503793</v>
      </c>
      <c r="L25" s="341">
        <f t="shared" si="2"/>
        <v>48.486152383774012</v>
      </c>
      <c r="M25" s="341">
        <f t="shared" si="2"/>
        <v>49.771002369008841</v>
      </c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mergeCells count="3">
    <mergeCell ref="A9:B9"/>
    <mergeCell ref="A18:C18"/>
    <mergeCell ref="H18:J1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activeCell="E14" sqref="E14"/>
    </sheetView>
  </sheetViews>
  <sheetFormatPr baseColWidth="10" defaultRowHeight="15" x14ac:dyDescent="0.25"/>
  <cols>
    <col min="2" max="2" width="16" bestFit="1" customWidth="1"/>
    <col min="3" max="3" width="15.7109375" bestFit="1" customWidth="1"/>
    <col min="4" max="4" width="15.85546875" bestFit="1" customWidth="1"/>
    <col min="5" max="5" width="15.42578125" bestFit="1" customWidth="1"/>
    <col min="6" max="6" width="16.42578125" bestFit="1" customWidth="1"/>
    <col min="7" max="7" width="15.42578125" bestFit="1" customWidth="1"/>
    <col min="8" max="8" width="14.28515625" bestFit="1" customWidth="1"/>
    <col min="9" max="9" width="16.28515625" bestFit="1" customWidth="1"/>
    <col min="10" max="10" width="12.7109375" bestFit="1" customWidth="1"/>
    <col min="11" max="11" width="15.28515625" bestFit="1" customWidth="1"/>
    <col min="12" max="12" width="16.28515625" bestFit="1" customWidth="1"/>
    <col min="13" max="13" width="15.140625" bestFit="1" customWidth="1"/>
  </cols>
  <sheetData>
    <row r="1" spans="1:13" x14ac:dyDescent="0.25">
      <c r="A1" s="325"/>
      <c r="B1" s="326">
        <v>43466</v>
      </c>
      <c r="C1" s="326">
        <v>43497</v>
      </c>
      <c r="D1" s="326">
        <v>43525</v>
      </c>
      <c r="E1" s="326">
        <v>43556</v>
      </c>
      <c r="F1" s="326">
        <v>43586</v>
      </c>
      <c r="G1" s="326">
        <v>43617</v>
      </c>
      <c r="H1" s="326">
        <v>43647</v>
      </c>
      <c r="I1" s="326">
        <v>43678</v>
      </c>
      <c r="J1" s="326">
        <v>43709</v>
      </c>
      <c r="K1" s="326">
        <v>43739</v>
      </c>
      <c r="L1" s="326">
        <v>43770</v>
      </c>
      <c r="M1" s="326">
        <v>43800</v>
      </c>
    </row>
    <row r="2" spans="1:13" x14ac:dyDescent="0.25">
      <c r="A2" s="327" t="s">
        <v>772</v>
      </c>
      <c r="B2" s="342">
        <v>23961</v>
      </c>
      <c r="C2" s="342">
        <v>26998</v>
      </c>
      <c r="D2" s="342">
        <v>31707</v>
      </c>
      <c r="E2" s="342">
        <v>35756</v>
      </c>
      <c r="F2" s="342">
        <v>40840</v>
      </c>
      <c r="G2" s="342">
        <v>46915</v>
      </c>
      <c r="H2" s="342">
        <v>54044</v>
      </c>
      <c r="I2" s="342">
        <v>61847</v>
      </c>
      <c r="J2" s="342">
        <v>69906</v>
      </c>
      <c r="K2" s="342">
        <v>77601</v>
      </c>
      <c r="L2" s="342">
        <v>84307</v>
      </c>
      <c r="M2" s="342">
        <v>87345</v>
      </c>
    </row>
    <row r="3" spans="1:13" x14ac:dyDescent="0.25">
      <c r="A3" s="329" t="s">
        <v>773</v>
      </c>
      <c r="B3" s="343">
        <v>12</v>
      </c>
      <c r="C3" s="343">
        <v>13</v>
      </c>
      <c r="D3" s="343">
        <v>18</v>
      </c>
      <c r="E3" s="343">
        <v>29</v>
      </c>
      <c r="F3" s="343">
        <v>44</v>
      </c>
      <c r="G3" s="343">
        <v>56</v>
      </c>
      <c r="H3" s="343">
        <v>70</v>
      </c>
      <c r="I3" s="343">
        <v>81</v>
      </c>
      <c r="J3" s="343">
        <v>94</v>
      </c>
      <c r="K3" s="343">
        <v>101</v>
      </c>
      <c r="L3" s="343">
        <v>109</v>
      </c>
      <c r="M3" s="343">
        <v>118</v>
      </c>
    </row>
    <row r="4" spans="1:13" x14ac:dyDescent="0.25">
      <c r="A4" s="327" t="s">
        <v>722</v>
      </c>
      <c r="B4" s="342">
        <v>1</v>
      </c>
      <c r="C4" s="342">
        <v>1</v>
      </c>
      <c r="D4" s="342">
        <v>1</v>
      </c>
      <c r="E4" s="342">
        <v>1</v>
      </c>
      <c r="F4" s="342">
        <v>1</v>
      </c>
      <c r="G4" s="342">
        <v>1</v>
      </c>
      <c r="H4" s="342">
        <v>1</v>
      </c>
      <c r="I4" s="342">
        <v>1</v>
      </c>
      <c r="J4" s="342">
        <v>1</v>
      </c>
      <c r="K4" s="342">
        <v>1</v>
      </c>
      <c r="L4" s="342">
        <v>1</v>
      </c>
      <c r="M4" s="342">
        <v>1</v>
      </c>
    </row>
    <row r="5" spans="1:13" x14ac:dyDescent="0.25">
      <c r="A5" s="329" t="s">
        <v>774</v>
      </c>
      <c r="B5" s="343">
        <v>14</v>
      </c>
      <c r="C5" s="343">
        <v>15</v>
      </c>
      <c r="D5" s="343">
        <v>15</v>
      </c>
      <c r="E5" s="343">
        <v>16</v>
      </c>
      <c r="F5" s="343">
        <v>16</v>
      </c>
      <c r="G5" s="343">
        <v>16</v>
      </c>
      <c r="H5" s="343">
        <v>18</v>
      </c>
      <c r="I5" s="343">
        <v>20</v>
      </c>
      <c r="J5" s="343">
        <v>21</v>
      </c>
      <c r="K5" s="343">
        <v>22</v>
      </c>
      <c r="L5" s="343">
        <v>23</v>
      </c>
      <c r="M5" s="343">
        <v>26</v>
      </c>
    </row>
    <row r="6" spans="1:13" x14ac:dyDescent="0.25">
      <c r="A6" s="5" t="s">
        <v>116</v>
      </c>
      <c r="B6" s="344">
        <f>+SUM(B2:B5)</f>
        <v>23988</v>
      </c>
      <c r="C6" s="344">
        <f t="shared" ref="C6:M6" si="0">+SUM(C2:C5)</f>
        <v>27027</v>
      </c>
      <c r="D6" s="344">
        <f t="shared" si="0"/>
        <v>31741</v>
      </c>
      <c r="E6" s="344">
        <f t="shared" si="0"/>
        <v>35802</v>
      </c>
      <c r="F6" s="344">
        <f t="shared" si="0"/>
        <v>40901</v>
      </c>
      <c r="G6" s="344">
        <f t="shared" si="0"/>
        <v>46988</v>
      </c>
      <c r="H6" s="344">
        <f t="shared" si="0"/>
        <v>54133</v>
      </c>
      <c r="I6" s="344">
        <f t="shared" si="0"/>
        <v>61949</v>
      </c>
      <c r="J6" s="344">
        <f t="shared" si="0"/>
        <v>70022</v>
      </c>
      <c r="K6" s="344">
        <f t="shared" si="0"/>
        <v>77725</v>
      </c>
      <c r="L6" s="344">
        <f t="shared" si="0"/>
        <v>84440</v>
      </c>
      <c r="M6" s="344">
        <f t="shared" si="0"/>
        <v>87490</v>
      </c>
    </row>
    <row r="7" spans="1:13" x14ac:dyDescent="0.2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x14ac:dyDescent="0.25">
      <c r="A8" s="442" t="s">
        <v>782</v>
      </c>
      <c r="B8" s="44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9" spans="1:13" x14ac:dyDescent="0.25">
      <c r="A9" s="325"/>
      <c r="B9" s="326">
        <v>43466</v>
      </c>
      <c r="C9" s="326">
        <v>43497</v>
      </c>
      <c r="D9" s="326">
        <v>43525</v>
      </c>
      <c r="E9" s="326">
        <v>43556</v>
      </c>
      <c r="F9" s="326">
        <v>43586</v>
      </c>
      <c r="G9" s="326">
        <v>43617</v>
      </c>
      <c r="H9" s="326">
        <v>43647</v>
      </c>
      <c r="I9" s="326">
        <v>43678</v>
      </c>
      <c r="J9" s="326">
        <v>43709</v>
      </c>
      <c r="K9" s="326">
        <v>43739</v>
      </c>
      <c r="L9" s="326">
        <v>43770</v>
      </c>
      <c r="M9" s="326">
        <v>43800</v>
      </c>
    </row>
    <row r="10" spans="1:13" x14ac:dyDescent="0.25">
      <c r="A10" s="327" t="s">
        <v>772</v>
      </c>
      <c r="B10" s="333">
        <v>0.33315245658415199</v>
      </c>
      <c r="C10" s="333">
        <v>0.40380526619306528</v>
      </c>
      <c r="D10" s="333">
        <v>0.32130996679538421</v>
      </c>
      <c r="E10" s="333">
        <v>0.42685293656776169</v>
      </c>
      <c r="F10" s="333">
        <v>0.47025023685462869</v>
      </c>
      <c r="G10" s="333">
        <v>0.56901515417124837</v>
      </c>
      <c r="H10" s="333">
        <v>0.6427194412173397</v>
      </c>
      <c r="I10" s="333">
        <v>0.81187726871698251</v>
      </c>
      <c r="J10" s="333">
        <v>0.9048946285592393</v>
      </c>
      <c r="K10" s="333">
        <v>1.0766889467945548</v>
      </c>
      <c r="L10" s="333">
        <v>1.1165244041490414</v>
      </c>
      <c r="M10" s="333">
        <v>1.1772931280703227</v>
      </c>
    </row>
    <row r="11" spans="1:13" x14ac:dyDescent="0.25">
      <c r="A11" s="329" t="s">
        <v>773</v>
      </c>
      <c r="B11" s="334">
        <v>0</v>
      </c>
      <c r="C11" s="334">
        <v>0</v>
      </c>
      <c r="D11" s="334">
        <v>0</v>
      </c>
      <c r="E11" s="334">
        <v>1.9101116425166665E-3</v>
      </c>
      <c r="F11" s="334">
        <v>2.2727838102258065E-4</v>
      </c>
      <c r="G11" s="334">
        <v>2.7399475297333332E-4</v>
      </c>
      <c r="H11" s="334">
        <v>2.4545974015806451E-4</v>
      </c>
      <c r="I11" s="334">
        <v>0</v>
      </c>
      <c r="J11" s="334">
        <v>0.23</v>
      </c>
      <c r="K11" s="334">
        <v>0.03</v>
      </c>
      <c r="L11" s="334">
        <v>0.05</v>
      </c>
      <c r="M11" s="334">
        <v>0.09</v>
      </c>
    </row>
    <row r="12" spans="1:13" x14ac:dyDescent="0.25">
      <c r="A12" s="327" t="s">
        <v>722</v>
      </c>
      <c r="B12" s="333">
        <v>0.11179913671868386</v>
      </c>
      <c r="C12" s="333">
        <v>0.12761350772061072</v>
      </c>
      <c r="D12" s="333">
        <v>0.1120222684739387</v>
      </c>
      <c r="E12" s="333">
        <v>0.11428594717494667</v>
      </c>
      <c r="F12" s="333">
        <v>0.10168565317310967</v>
      </c>
      <c r="G12" s="333">
        <v>0.11733858256441666</v>
      </c>
      <c r="H12" s="333">
        <v>0.10594869204173224</v>
      </c>
      <c r="I12" s="333">
        <v>0.10594678960628387</v>
      </c>
      <c r="J12" s="333">
        <v>9.521946266949334E-2</v>
      </c>
      <c r="K12" s="333">
        <v>8.4482134466267733E-2</v>
      </c>
      <c r="L12" s="333">
        <v>9.3820636819236664E-2</v>
      </c>
      <c r="M12" s="333">
        <v>8.838008799806453E-2</v>
      </c>
    </row>
    <row r="13" spans="1:13" x14ac:dyDescent="0.25">
      <c r="A13" s="329" t="s">
        <v>774</v>
      </c>
      <c r="B13" s="334">
        <v>2.2548835900390101</v>
      </c>
      <c r="C13" s="334">
        <v>1.5413824032369499</v>
      </c>
      <c r="D13" s="334">
        <v>1.2921569515944096</v>
      </c>
      <c r="E13" s="334">
        <v>0.94708419371300667</v>
      </c>
      <c r="F13" s="334">
        <v>0.94109276907613881</v>
      </c>
      <c r="G13" s="334">
        <v>2.5617023126261933</v>
      </c>
      <c r="H13" s="334">
        <v>7.6251444919218088</v>
      </c>
      <c r="I13" s="334">
        <v>3.7006737781889738</v>
      </c>
      <c r="J13" s="334">
        <v>2.73</v>
      </c>
      <c r="K13" s="334">
        <v>3.19</v>
      </c>
      <c r="L13" s="334">
        <v>3.15</v>
      </c>
      <c r="M13" s="334">
        <v>7.45</v>
      </c>
    </row>
    <row r="14" spans="1:13" x14ac:dyDescent="0.25">
      <c r="A14" s="5" t="s">
        <v>116</v>
      </c>
      <c r="B14" s="6">
        <v>0</v>
      </c>
      <c r="C14" s="6">
        <v>0</v>
      </c>
      <c r="D14" s="6">
        <v>0.01</v>
      </c>
      <c r="E14" s="6">
        <v>0.64</v>
      </c>
      <c r="F14" s="6">
        <v>0.6</v>
      </c>
      <c r="G14" s="6">
        <v>0.71</v>
      </c>
      <c r="H14" s="6">
        <v>0.45</v>
      </c>
      <c r="I14" s="6">
        <v>0.51</v>
      </c>
      <c r="J14" s="6">
        <v>0.94</v>
      </c>
      <c r="K14" s="6">
        <v>1.04</v>
      </c>
      <c r="L14" s="6">
        <v>1.35</v>
      </c>
      <c r="M14" s="6">
        <v>2.12</v>
      </c>
    </row>
    <row r="15" spans="1:13" x14ac:dyDescent="0.2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x14ac:dyDescent="0.25">
      <c r="A16" s="442" t="s">
        <v>783</v>
      </c>
      <c r="B16" s="442"/>
      <c r="C16" s="442"/>
      <c r="D16" s="262"/>
      <c r="E16" s="57"/>
      <c r="F16" s="57"/>
      <c r="G16" s="442" t="s">
        <v>784</v>
      </c>
      <c r="H16" s="442"/>
      <c r="I16" s="262"/>
      <c r="J16" s="262"/>
      <c r="K16" s="262"/>
      <c r="L16" s="262"/>
      <c r="M16" s="262"/>
    </row>
    <row r="17" spans="1:13" x14ac:dyDescent="0.25">
      <c r="A17" s="325"/>
      <c r="B17" s="325">
        <v>2017</v>
      </c>
      <c r="C17" s="325">
        <v>2018</v>
      </c>
      <c r="D17" s="325">
        <v>2019</v>
      </c>
      <c r="E17" s="57"/>
      <c r="F17" s="57"/>
      <c r="G17" s="325"/>
      <c r="H17" s="325">
        <v>2018</v>
      </c>
      <c r="I17" s="325">
        <v>2019</v>
      </c>
      <c r="J17" s="262"/>
      <c r="K17" s="262"/>
      <c r="L17" s="262"/>
      <c r="M17" s="262"/>
    </row>
    <row r="18" spans="1:13" x14ac:dyDescent="0.25">
      <c r="A18" s="327" t="s">
        <v>772</v>
      </c>
      <c r="B18" s="36">
        <v>51</v>
      </c>
      <c r="C18" s="328">
        <v>21501</v>
      </c>
      <c r="D18" s="328">
        <v>87345</v>
      </c>
      <c r="E18" s="57"/>
      <c r="F18" s="57"/>
      <c r="G18" s="327" t="s">
        <v>772</v>
      </c>
      <c r="H18" s="36">
        <v>7.0000000000000007E-2</v>
      </c>
      <c r="I18" s="36">
        <v>0.67</v>
      </c>
      <c r="J18" s="262"/>
      <c r="K18" s="262"/>
      <c r="L18" s="262"/>
      <c r="M18" s="262"/>
    </row>
    <row r="19" spans="1:13" x14ac:dyDescent="0.25">
      <c r="A19" s="329" t="s">
        <v>773</v>
      </c>
      <c r="B19" s="345">
        <v>0</v>
      </c>
      <c r="C19" s="331">
        <v>10</v>
      </c>
      <c r="D19" s="331">
        <v>118</v>
      </c>
      <c r="E19" s="57"/>
      <c r="F19" s="57"/>
      <c r="G19" s="329" t="s">
        <v>773</v>
      </c>
      <c r="H19" s="345">
        <v>0</v>
      </c>
      <c r="I19" s="346">
        <v>0.03</v>
      </c>
      <c r="J19" s="262"/>
      <c r="K19" s="262"/>
      <c r="L19" s="262"/>
      <c r="M19" s="262"/>
    </row>
    <row r="20" spans="1:13" x14ac:dyDescent="0.25">
      <c r="A20" s="327" t="s">
        <v>722</v>
      </c>
      <c r="B20" s="347">
        <v>0</v>
      </c>
      <c r="C20" s="36">
        <v>1</v>
      </c>
      <c r="D20" s="36">
        <v>1</v>
      </c>
      <c r="E20" s="57"/>
      <c r="F20" s="57"/>
      <c r="G20" s="327" t="s">
        <v>722</v>
      </c>
      <c r="H20" s="36">
        <v>0.06</v>
      </c>
      <c r="I20" s="333">
        <v>0.1</v>
      </c>
      <c r="J20" s="262"/>
      <c r="K20" s="262"/>
      <c r="L20" s="262"/>
      <c r="M20" s="262"/>
    </row>
    <row r="21" spans="1:13" x14ac:dyDescent="0.25">
      <c r="A21" s="329" t="s">
        <v>774</v>
      </c>
      <c r="B21" s="345">
        <v>0</v>
      </c>
      <c r="C21" s="331">
        <v>14</v>
      </c>
      <c r="D21" s="331">
        <v>26</v>
      </c>
      <c r="E21" s="57"/>
      <c r="F21" s="57"/>
      <c r="G21" s="329" t="s">
        <v>774</v>
      </c>
      <c r="H21" s="331">
        <v>0.56999999999999995</v>
      </c>
      <c r="I21" s="331">
        <v>3.14</v>
      </c>
      <c r="J21" s="262"/>
      <c r="K21" s="262"/>
      <c r="L21" s="262"/>
      <c r="M21" s="262"/>
    </row>
    <row r="22" spans="1:13" x14ac:dyDescent="0.25">
      <c r="A22" s="5" t="s">
        <v>116</v>
      </c>
      <c r="B22" s="6">
        <v>51</v>
      </c>
      <c r="C22" s="332">
        <v>21526</v>
      </c>
      <c r="D22" s="332">
        <f>+SUM(D18:D21)</f>
        <v>87490</v>
      </c>
      <c r="E22" s="57"/>
      <c r="F22" s="57"/>
      <c r="G22" s="5" t="s">
        <v>116</v>
      </c>
      <c r="H22" s="335">
        <f>+SUM(H18:H21)</f>
        <v>0.7</v>
      </c>
      <c r="I22" s="335">
        <f>+SUM(I18:I21)</f>
        <v>3.9400000000000004</v>
      </c>
      <c r="J22" s="262"/>
      <c r="K22" s="262"/>
      <c r="L22" s="262"/>
      <c r="M22" s="262"/>
    </row>
  </sheetData>
  <mergeCells count="3">
    <mergeCell ref="A8:B8"/>
    <mergeCell ref="A16:C16"/>
    <mergeCell ref="G16:H1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E14" sqref="E14"/>
    </sheetView>
  </sheetViews>
  <sheetFormatPr baseColWidth="10" defaultRowHeight="15" x14ac:dyDescent="0.25"/>
  <cols>
    <col min="2" max="2" width="16" bestFit="1" customWidth="1"/>
    <col min="3" max="3" width="15.7109375" bestFit="1" customWidth="1"/>
    <col min="4" max="4" width="15.85546875" bestFit="1" customWidth="1"/>
    <col min="5" max="5" width="15.42578125" bestFit="1" customWidth="1"/>
    <col min="6" max="6" width="16.42578125" bestFit="1" customWidth="1"/>
    <col min="7" max="7" width="15.42578125" bestFit="1" customWidth="1"/>
    <col min="8" max="8" width="15.140625" bestFit="1" customWidth="1"/>
    <col min="9" max="9" width="16.28515625" bestFit="1" customWidth="1"/>
    <col min="10" max="10" width="15.140625" bestFit="1" customWidth="1"/>
    <col min="11" max="11" width="15.28515625" bestFit="1" customWidth="1"/>
    <col min="12" max="12" width="16.28515625" bestFit="1" customWidth="1"/>
    <col min="13" max="13" width="15.140625" bestFit="1" customWidth="1"/>
  </cols>
  <sheetData>
    <row r="1" spans="1:13" x14ac:dyDescent="0.25">
      <c r="A1" s="325"/>
      <c r="B1" s="326">
        <v>43466</v>
      </c>
      <c r="C1" s="326">
        <v>43497</v>
      </c>
      <c r="D1" s="326">
        <v>43525</v>
      </c>
      <c r="E1" s="326">
        <v>43556</v>
      </c>
      <c r="F1" s="326">
        <v>43586</v>
      </c>
      <c r="G1" s="326">
        <v>43617</v>
      </c>
      <c r="H1" s="326">
        <v>43647</v>
      </c>
      <c r="I1" s="326">
        <v>43678</v>
      </c>
      <c r="J1" s="326">
        <v>43709</v>
      </c>
      <c r="K1" s="326">
        <v>43739</v>
      </c>
      <c r="L1" s="326">
        <v>43770</v>
      </c>
      <c r="M1" s="326">
        <v>43800</v>
      </c>
    </row>
    <row r="2" spans="1:13" x14ac:dyDescent="0.25">
      <c r="A2" s="327" t="s">
        <v>772</v>
      </c>
      <c r="B2" s="328">
        <v>11756</v>
      </c>
      <c r="C2" s="328">
        <v>11781</v>
      </c>
      <c r="D2" s="328">
        <v>11859</v>
      </c>
      <c r="E2" s="328">
        <v>11976</v>
      </c>
      <c r="F2" s="328">
        <v>12075</v>
      </c>
      <c r="G2" s="328">
        <v>12128</v>
      </c>
      <c r="H2" s="328">
        <v>12170</v>
      </c>
      <c r="I2" s="328">
        <v>12299</v>
      </c>
      <c r="J2" s="328">
        <v>12440</v>
      </c>
      <c r="K2" s="328">
        <v>12618</v>
      </c>
      <c r="L2" s="328">
        <v>12809</v>
      </c>
      <c r="M2" s="328">
        <v>12815</v>
      </c>
    </row>
    <row r="3" spans="1:13" x14ac:dyDescent="0.25">
      <c r="A3" s="327" t="s">
        <v>773</v>
      </c>
      <c r="B3" s="36">
        <v>2</v>
      </c>
      <c r="C3" s="36">
        <v>4</v>
      </c>
      <c r="D3" s="36">
        <v>5</v>
      </c>
      <c r="E3" s="36">
        <v>7</v>
      </c>
      <c r="F3" s="36">
        <v>10</v>
      </c>
      <c r="G3" s="36">
        <v>10</v>
      </c>
      <c r="H3" s="36">
        <v>11</v>
      </c>
      <c r="I3" s="36">
        <v>11</v>
      </c>
      <c r="J3" s="36">
        <v>11</v>
      </c>
      <c r="K3" s="36">
        <v>12</v>
      </c>
      <c r="L3" s="36">
        <v>18</v>
      </c>
      <c r="M3" s="36">
        <v>19</v>
      </c>
    </row>
    <row r="4" spans="1:13" x14ac:dyDescent="0.25">
      <c r="A4" s="327" t="s">
        <v>722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</row>
    <row r="5" spans="1:13" x14ac:dyDescent="0.25">
      <c r="A5" s="327" t="s">
        <v>774</v>
      </c>
      <c r="B5" s="36">
        <v>12</v>
      </c>
      <c r="C5" s="36">
        <v>12</v>
      </c>
      <c r="D5" s="36">
        <v>13</v>
      </c>
      <c r="E5" s="36">
        <v>15</v>
      </c>
      <c r="F5" s="36">
        <v>16</v>
      </c>
      <c r="G5" s="36">
        <v>16</v>
      </c>
      <c r="H5" s="36">
        <v>16</v>
      </c>
      <c r="I5" s="36">
        <v>16</v>
      </c>
      <c r="J5" s="36">
        <v>17</v>
      </c>
      <c r="K5" s="36">
        <v>17</v>
      </c>
      <c r="L5" s="36">
        <v>18</v>
      </c>
      <c r="M5" s="36">
        <v>19</v>
      </c>
    </row>
    <row r="6" spans="1:13" x14ac:dyDescent="0.25">
      <c r="A6" s="5" t="s">
        <v>116</v>
      </c>
      <c r="B6" s="332">
        <f>+SUM(B2:B5)</f>
        <v>11770</v>
      </c>
      <c r="C6" s="332">
        <f t="shared" ref="C6:M6" si="0">+SUM(C2:C5)</f>
        <v>11797</v>
      </c>
      <c r="D6" s="332">
        <f t="shared" si="0"/>
        <v>11877</v>
      </c>
      <c r="E6" s="332">
        <f t="shared" si="0"/>
        <v>11998</v>
      </c>
      <c r="F6" s="332">
        <f t="shared" si="0"/>
        <v>12101</v>
      </c>
      <c r="G6" s="332">
        <f t="shared" si="0"/>
        <v>12154</v>
      </c>
      <c r="H6" s="332">
        <f t="shared" si="0"/>
        <v>12197</v>
      </c>
      <c r="I6" s="332">
        <f t="shared" si="0"/>
        <v>12326</v>
      </c>
      <c r="J6" s="332">
        <f t="shared" si="0"/>
        <v>12468</v>
      </c>
      <c r="K6" s="332">
        <f t="shared" si="0"/>
        <v>12647</v>
      </c>
      <c r="L6" s="332">
        <f t="shared" si="0"/>
        <v>12845</v>
      </c>
      <c r="M6" s="332">
        <f t="shared" si="0"/>
        <v>12853</v>
      </c>
    </row>
    <row r="7" spans="1:13" x14ac:dyDescent="0.25">
      <c r="A7" s="262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1:13" x14ac:dyDescent="0.25">
      <c r="A8" s="442" t="s">
        <v>785</v>
      </c>
      <c r="B8" s="44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9" spans="1:13" x14ac:dyDescent="0.25">
      <c r="A9" s="325"/>
      <c r="B9" s="326">
        <v>43101</v>
      </c>
      <c r="C9" s="326">
        <v>43132</v>
      </c>
      <c r="D9" s="326">
        <v>43160</v>
      </c>
      <c r="E9" s="326">
        <v>43191</v>
      </c>
      <c r="F9" s="326">
        <v>43221</v>
      </c>
      <c r="G9" s="326">
        <v>43252</v>
      </c>
      <c r="H9" s="326">
        <v>43282</v>
      </c>
      <c r="I9" s="326">
        <v>43313</v>
      </c>
      <c r="J9" s="325" t="s">
        <v>786</v>
      </c>
      <c r="K9" s="326">
        <v>43374</v>
      </c>
      <c r="L9" s="326">
        <v>43405</v>
      </c>
      <c r="M9" s="326">
        <v>43435</v>
      </c>
    </row>
    <row r="10" spans="1:13" x14ac:dyDescent="0.25">
      <c r="A10" s="327" t="s">
        <v>772</v>
      </c>
      <c r="B10" s="333">
        <v>0.14016164686419352</v>
      </c>
      <c r="C10" s="333">
        <v>0.14664416717500001</v>
      </c>
      <c r="D10" s="333">
        <v>0.12807605544387096</v>
      </c>
      <c r="E10" s="333">
        <v>0.13102566578966668</v>
      </c>
      <c r="F10" s="333">
        <v>0.13283214406483873</v>
      </c>
      <c r="G10" s="333">
        <v>0.14568831677366664</v>
      </c>
      <c r="H10" s="333">
        <v>0.15110463783258063</v>
      </c>
      <c r="I10" s="333">
        <v>0.13903385578999999</v>
      </c>
      <c r="J10" s="333">
        <v>0.15250640239499999</v>
      </c>
      <c r="K10" s="333">
        <v>0.15252292054709679</v>
      </c>
      <c r="L10" s="333">
        <v>0.14714916695599997</v>
      </c>
      <c r="M10" s="333">
        <v>0.14397563122419352</v>
      </c>
    </row>
    <row r="11" spans="1:13" x14ac:dyDescent="0.25">
      <c r="A11" s="327" t="s">
        <v>773</v>
      </c>
      <c r="B11" s="333">
        <v>1.6859906967741934E-4</v>
      </c>
      <c r="C11" s="333">
        <v>8.7025436785714288E-5</v>
      </c>
      <c r="D11" s="333">
        <v>3.5895653280645164E-3</v>
      </c>
      <c r="E11" s="333">
        <v>1.2689738086666669E-3</v>
      </c>
      <c r="F11" s="333">
        <v>2.1712826135483875E-3</v>
      </c>
      <c r="G11" s="333">
        <v>1.0180042205333332E-2</v>
      </c>
      <c r="H11" s="333">
        <v>7.2554559106451609E-3</v>
      </c>
      <c r="I11" s="333">
        <v>2.7154702864193549E-2</v>
      </c>
      <c r="J11" s="333">
        <v>1.8238849899333331E-2</v>
      </c>
      <c r="K11" s="333">
        <v>1.7809985509032254E-2</v>
      </c>
      <c r="L11" s="333">
        <v>2.0925119130666664E-2</v>
      </c>
      <c r="M11" s="333">
        <v>2.1127286123225807E-2</v>
      </c>
    </row>
    <row r="12" spans="1:13" x14ac:dyDescent="0.25">
      <c r="A12" s="327" t="s">
        <v>722</v>
      </c>
      <c r="B12" s="333">
        <v>0</v>
      </c>
      <c r="C12" s="333">
        <v>0</v>
      </c>
      <c r="D12" s="333">
        <v>0</v>
      </c>
      <c r="E12" s="333">
        <v>0</v>
      </c>
      <c r="F12" s="333">
        <v>0</v>
      </c>
      <c r="G12" s="333">
        <v>0</v>
      </c>
      <c r="H12" s="333">
        <v>0</v>
      </c>
      <c r="I12" s="333">
        <v>0</v>
      </c>
      <c r="J12" s="333">
        <v>0</v>
      </c>
      <c r="K12" s="333">
        <v>0</v>
      </c>
      <c r="L12" s="333">
        <v>0</v>
      </c>
      <c r="M12" s="333">
        <v>0</v>
      </c>
    </row>
    <row r="13" spans="1:13" x14ac:dyDescent="0.25">
      <c r="A13" s="327" t="s">
        <v>774</v>
      </c>
      <c r="B13" s="333">
        <v>1.8307705911280645</v>
      </c>
      <c r="C13" s="333">
        <v>2.1294518987121429</v>
      </c>
      <c r="D13" s="333">
        <v>2.0787251418441937</v>
      </c>
      <c r="E13" s="333">
        <v>2.5623182711003332</v>
      </c>
      <c r="F13" s="333">
        <v>2.4668698189970968</v>
      </c>
      <c r="G13" s="333">
        <v>2.6971449725376666</v>
      </c>
      <c r="H13" s="333">
        <v>2.6014357994406452</v>
      </c>
      <c r="I13" s="333">
        <v>2.6919017313345162</v>
      </c>
      <c r="J13" s="333">
        <v>2.7047953072153335</v>
      </c>
      <c r="K13" s="333">
        <v>2.5924465071512901</v>
      </c>
      <c r="L13" s="333">
        <v>3.3195460196413333</v>
      </c>
      <c r="M13" s="333">
        <v>3.0806353660483876</v>
      </c>
    </row>
    <row r="14" spans="1:13" x14ac:dyDescent="0.25">
      <c r="A14" s="5" t="s">
        <v>116</v>
      </c>
      <c r="B14" s="6">
        <v>0.05</v>
      </c>
      <c r="C14" s="6">
        <v>0.06</v>
      </c>
      <c r="D14" s="6">
        <v>0.06</v>
      </c>
      <c r="E14" s="6">
        <v>0.19</v>
      </c>
      <c r="F14" s="6">
        <v>0.32</v>
      </c>
      <c r="G14" s="6">
        <v>0.93</v>
      </c>
      <c r="H14" s="6">
        <v>0.92</v>
      </c>
      <c r="I14" s="6">
        <v>0.95</v>
      </c>
      <c r="J14" s="6">
        <v>0.71</v>
      </c>
      <c r="K14" s="6">
        <v>1.46</v>
      </c>
      <c r="L14" s="6">
        <v>1.85</v>
      </c>
      <c r="M14" s="6">
        <v>1.93</v>
      </c>
    </row>
    <row r="15" spans="1:13" x14ac:dyDescent="0.2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x14ac:dyDescent="0.25">
      <c r="A16" s="442" t="s">
        <v>787</v>
      </c>
      <c r="B16" s="442"/>
      <c r="C16" s="442"/>
      <c r="D16" s="262"/>
      <c r="H16" s="442" t="s">
        <v>788</v>
      </c>
      <c r="I16" s="442"/>
      <c r="J16" s="442"/>
      <c r="K16" s="262"/>
      <c r="L16" s="262"/>
      <c r="M16" s="262"/>
    </row>
    <row r="17" spans="1:13" x14ac:dyDescent="0.25">
      <c r="A17" s="325"/>
      <c r="B17" s="348">
        <v>2017</v>
      </c>
      <c r="C17" s="348">
        <v>2018</v>
      </c>
      <c r="D17" s="348">
        <v>2019</v>
      </c>
      <c r="H17" s="325"/>
      <c r="I17" s="325">
        <v>2018</v>
      </c>
      <c r="J17" s="325">
        <v>2019</v>
      </c>
      <c r="K17" s="262"/>
      <c r="L17" s="262"/>
      <c r="M17" s="262"/>
    </row>
    <row r="18" spans="1:13" x14ac:dyDescent="0.25">
      <c r="A18" s="327" t="s">
        <v>772</v>
      </c>
      <c r="B18" s="349">
        <v>4216</v>
      </c>
      <c r="C18" s="349">
        <v>11714</v>
      </c>
      <c r="D18" s="349">
        <v>11714</v>
      </c>
      <c r="H18" s="327" t="s">
        <v>772</v>
      </c>
      <c r="I18" s="36">
        <v>0.1</v>
      </c>
      <c r="J18" s="333">
        <v>0.1425096900906849</v>
      </c>
      <c r="K18" s="262"/>
      <c r="L18" s="262"/>
      <c r="M18" s="262"/>
    </row>
    <row r="19" spans="1:13" x14ac:dyDescent="0.25">
      <c r="A19" s="327" t="s">
        <v>773</v>
      </c>
      <c r="B19" s="36" t="s">
        <v>789</v>
      </c>
      <c r="C19" s="350">
        <v>1</v>
      </c>
      <c r="D19" s="350">
        <v>1</v>
      </c>
      <c r="H19" s="327" t="s">
        <v>773</v>
      </c>
      <c r="I19" s="36" t="s">
        <v>789</v>
      </c>
      <c r="J19" s="351">
        <v>1.0899751954849315E-2</v>
      </c>
      <c r="K19" s="262"/>
      <c r="L19" s="262"/>
      <c r="M19" s="262"/>
    </row>
    <row r="20" spans="1:13" x14ac:dyDescent="0.25">
      <c r="A20" s="327" t="s">
        <v>722</v>
      </c>
      <c r="B20" s="36" t="s">
        <v>789</v>
      </c>
      <c r="C20" s="36" t="s">
        <v>789</v>
      </c>
      <c r="D20" s="36" t="s">
        <v>789</v>
      </c>
      <c r="H20" s="327" t="s">
        <v>722</v>
      </c>
      <c r="I20" s="36" t="s">
        <v>789</v>
      </c>
      <c r="J20" s="36" t="s">
        <v>789</v>
      </c>
      <c r="K20" s="262"/>
      <c r="L20" s="262"/>
      <c r="M20" s="262"/>
    </row>
    <row r="21" spans="1:13" x14ac:dyDescent="0.25">
      <c r="A21" s="327" t="s">
        <v>774</v>
      </c>
      <c r="B21" s="36" t="s">
        <v>789</v>
      </c>
      <c r="C21" s="350">
        <v>11</v>
      </c>
      <c r="D21" s="350">
        <v>11</v>
      </c>
      <c r="H21" s="327" t="s">
        <v>774</v>
      </c>
      <c r="I21" s="36">
        <v>0.69</v>
      </c>
      <c r="J21" s="333">
        <v>2.5637400655152054</v>
      </c>
      <c r="K21" s="262"/>
      <c r="L21" s="262"/>
      <c r="M21" s="262"/>
    </row>
    <row r="22" spans="1:13" x14ac:dyDescent="0.25">
      <c r="A22" s="5" t="s">
        <v>116</v>
      </c>
      <c r="B22" s="352">
        <v>4216</v>
      </c>
      <c r="C22" s="352">
        <v>11726</v>
      </c>
      <c r="D22" s="352">
        <v>11726</v>
      </c>
      <c r="H22" s="5" t="s">
        <v>116</v>
      </c>
      <c r="I22" s="6">
        <v>0.79</v>
      </c>
      <c r="J22" s="335">
        <f>+SUM(J18:J21)</f>
        <v>2.7171495075607397</v>
      </c>
      <c r="K22" s="262"/>
      <c r="L22" s="262"/>
      <c r="M22" s="262"/>
    </row>
    <row r="23" spans="1:13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</sheetData>
  <mergeCells count="3">
    <mergeCell ref="A8:B8"/>
    <mergeCell ref="A16:C16"/>
    <mergeCell ref="H16:J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"/>
  <sheetViews>
    <sheetView workbookViewId="0">
      <selection activeCell="D13" sqref="D13:D22"/>
    </sheetView>
  </sheetViews>
  <sheetFormatPr baseColWidth="10" defaultRowHeight="14.45" customHeight="1" x14ac:dyDescent="0.25"/>
  <cols>
    <col min="1" max="1" width="9.5703125" style="10" customWidth="1"/>
    <col min="2" max="2" width="10.28515625" style="11" customWidth="1"/>
    <col min="3" max="3" width="13.42578125" style="11" customWidth="1"/>
    <col min="4" max="4" width="9.5703125" style="11" customWidth="1"/>
    <col min="5" max="5" width="11.28515625" style="11" customWidth="1"/>
  </cols>
  <sheetData>
    <row r="1" spans="1:5" s="25" customFormat="1" ht="14.45" customHeight="1" x14ac:dyDescent="0.25">
      <c r="A1" s="355" t="s">
        <v>408</v>
      </c>
      <c r="B1" s="355"/>
      <c r="C1" s="355"/>
      <c r="D1" s="355"/>
      <c r="E1" s="355"/>
    </row>
    <row r="2" spans="1:5" s="25" customFormat="1" ht="22.5" x14ac:dyDescent="0.25">
      <c r="A2" s="16" t="s">
        <v>109</v>
      </c>
      <c r="B2" s="16" t="s">
        <v>110</v>
      </c>
      <c r="C2" s="16" t="s">
        <v>111</v>
      </c>
      <c r="D2" s="16" t="s">
        <v>112</v>
      </c>
      <c r="E2" s="16" t="s">
        <v>113</v>
      </c>
    </row>
    <row r="3" spans="1:5" ht="14.45" customHeight="1" x14ac:dyDescent="0.25">
      <c r="A3" s="357" t="s">
        <v>114</v>
      </c>
      <c r="B3" s="36">
        <v>133</v>
      </c>
      <c r="C3" s="33" t="s">
        <v>22</v>
      </c>
      <c r="D3" s="33" t="s">
        <v>115</v>
      </c>
      <c r="E3" s="100">
        <v>43486</v>
      </c>
    </row>
    <row r="4" spans="1:5" ht="14.45" customHeight="1" x14ac:dyDescent="0.25">
      <c r="A4" s="357"/>
      <c r="B4" s="36" t="s">
        <v>321</v>
      </c>
      <c r="C4" s="2" t="s">
        <v>259</v>
      </c>
      <c r="D4" s="368" t="s">
        <v>407</v>
      </c>
      <c r="E4" s="100">
        <v>43553</v>
      </c>
    </row>
    <row r="5" spans="1:5" ht="14.45" customHeight="1" x14ac:dyDescent="0.25">
      <c r="A5" s="357"/>
      <c r="B5" s="36" t="s">
        <v>406</v>
      </c>
      <c r="C5" s="2" t="s">
        <v>259</v>
      </c>
      <c r="D5" s="368"/>
      <c r="E5" s="100">
        <v>43529</v>
      </c>
    </row>
    <row r="6" spans="1:5" ht="14.45" customHeight="1" x14ac:dyDescent="0.25">
      <c r="A6" s="42" t="s">
        <v>116</v>
      </c>
      <c r="B6" s="39">
        <v>3</v>
      </c>
      <c r="C6" s="40"/>
      <c r="D6" s="41"/>
      <c r="E6" s="40"/>
    </row>
  </sheetData>
  <mergeCells count="3">
    <mergeCell ref="A1:E1"/>
    <mergeCell ref="A3:A5"/>
    <mergeCell ref="D4:D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4"/>
  <sheetViews>
    <sheetView workbookViewId="0">
      <selection activeCell="D45" sqref="D45"/>
    </sheetView>
  </sheetViews>
  <sheetFormatPr baseColWidth="10" defaultColWidth="9.5703125" defaultRowHeight="14.45" customHeight="1" x14ac:dyDescent="0.25"/>
  <cols>
    <col min="1" max="1" width="10.5703125" style="20" customWidth="1"/>
    <col min="2" max="16384" width="9.5703125" style="15"/>
  </cols>
  <sheetData>
    <row r="1" spans="1:10" s="28" customFormat="1" ht="14.45" customHeight="1" x14ac:dyDescent="0.25">
      <c r="A1" s="369" t="s">
        <v>117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s="28" customFormat="1" ht="14.45" customHeight="1" x14ac:dyDescent="0.25">
      <c r="A2" s="369" t="s">
        <v>409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s="28" customFormat="1" ht="14.45" customHeight="1" x14ac:dyDescent="0.25">
      <c r="A3" s="17" t="s">
        <v>1</v>
      </c>
      <c r="B3" s="16" t="s">
        <v>2</v>
      </c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29">
        <v>2019</v>
      </c>
    </row>
    <row r="4" spans="1:10" ht="14.45" customHeight="1" x14ac:dyDescent="0.25">
      <c r="A4" s="18" t="s">
        <v>45</v>
      </c>
      <c r="B4" s="2" t="s">
        <v>118</v>
      </c>
      <c r="C4" s="2">
        <v>12</v>
      </c>
      <c r="D4" s="2">
        <v>15</v>
      </c>
      <c r="E4" s="2">
        <v>25</v>
      </c>
      <c r="F4" s="2">
        <v>2</v>
      </c>
      <c r="G4" s="2" t="s">
        <v>159</v>
      </c>
      <c r="H4" s="2" t="s">
        <v>159</v>
      </c>
      <c r="I4" s="2" t="s">
        <v>159</v>
      </c>
      <c r="J4" s="33" t="s">
        <v>159</v>
      </c>
    </row>
    <row r="5" spans="1:10" ht="14.45" customHeight="1" x14ac:dyDescent="0.25">
      <c r="A5" s="38" t="s">
        <v>122</v>
      </c>
      <c r="B5" s="33" t="s">
        <v>138</v>
      </c>
      <c r="C5" s="33" t="s">
        <v>159</v>
      </c>
      <c r="D5" s="33" t="s">
        <v>159</v>
      </c>
      <c r="E5" s="33" t="s">
        <v>159</v>
      </c>
      <c r="F5" s="33" t="s">
        <v>159</v>
      </c>
      <c r="G5" s="33" t="s">
        <v>159</v>
      </c>
      <c r="H5" s="33" t="s">
        <v>159</v>
      </c>
      <c r="I5" s="33" t="s">
        <v>159</v>
      </c>
      <c r="J5" s="33">
        <v>4</v>
      </c>
    </row>
    <row r="6" spans="1:10" ht="14.45" customHeight="1" x14ac:dyDescent="0.25">
      <c r="A6" s="18" t="s">
        <v>45</v>
      </c>
      <c r="B6" s="2" t="s">
        <v>47</v>
      </c>
      <c r="C6" s="2">
        <v>3</v>
      </c>
      <c r="D6" s="2" t="s">
        <v>159</v>
      </c>
      <c r="E6" s="2" t="s">
        <v>159</v>
      </c>
      <c r="F6" s="2" t="s">
        <v>159</v>
      </c>
      <c r="G6" s="2" t="s">
        <v>159</v>
      </c>
      <c r="H6" s="2" t="s">
        <v>159</v>
      </c>
      <c r="I6" s="2" t="s">
        <v>159</v>
      </c>
      <c r="J6" s="33" t="s">
        <v>159</v>
      </c>
    </row>
    <row r="7" spans="1:10" ht="14.45" customHeight="1" x14ac:dyDescent="0.25">
      <c r="A7" s="18" t="s">
        <v>45</v>
      </c>
      <c r="B7" s="2" t="s">
        <v>46</v>
      </c>
      <c r="C7" s="2" t="s">
        <v>159</v>
      </c>
      <c r="D7" s="2" t="s">
        <v>159</v>
      </c>
      <c r="E7" s="2" t="s">
        <v>159</v>
      </c>
      <c r="F7" s="2" t="s">
        <v>159</v>
      </c>
      <c r="G7" s="2">
        <v>11</v>
      </c>
      <c r="H7" s="2">
        <v>22</v>
      </c>
      <c r="I7" s="2">
        <v>33</v>
      </c>
      <c r="J7" s="33">
        <v>33</v>
      </c>
    </row>
    <row r="8" spans="1:10" ht="14.45" customHeight="1" x14ac:dyDescent="0.25">
      <c r="A8" s="18" t="s">
        <v>45</v>
      </c>
      <c r="B8" s="2" t="s">
        <v>119</v>
      </c>
      <c r="C8" s="2" t="s">
        <v>159</v>
      </c>
      <c r="D8" s="2">
        <v>1</v>
      </c>
      <c r="E8" s="2">
        <v>1</v>
      </c>
      <c r="F8" s="2">
        <v>1</v>
      </c>
      <c r="G8" s="2" t="s">
        <v>159</v>
      </c>
      <c r="H8" s="2" t="s">
        <v>159</v>
      </c>
      <c r="I8" s="2" t="s">
        <v>159</v>
      </c>
      <c r="J8" s="33" t="s">
        <v>159</v>
      </c>
    </row>
    <row r="9" spans="1:10" ht="14.45" customHeight="1" x14ac:dyDescent="0.25">
      <c r="A9" s="18" t="s">
        <v>120</v>
      </c>
      <c r="B9" s="2" t="s">
        <v>121</v>
      </c>
      <c r="C9" s="2" t="s">
        <v>159</v>
      </c>
      <c r="D9" s="2" t="s">
        <v>159</v>
      </c>
      <c r="E9" s="2" t="s">
        <v>159</v>
      </c>
      <c r="F9" s="2" t="s">
        <v>159</v>
      </c>
      <c r="G9" s="2">
        <v>23</v>
      </c>
      <c r="H9" s="2">
        <v>16</v>
      </c>
      <c r="I9" s="2">
        <v>18</v>
      </c>
      <c r="J9" s="33">
        <v>22</v>
      </c>
    </row>
    <row r="10" spans="1:10" ht="14.45" customHeight="1" x14ac:dyDescent="0.25">
      <c r="A10" s="18" t="s">
        <v>25</v>
      </c>
      <c r="B10" s="2" t="s">
        <v>48</v>
      </c>
      <c r="C10" s="2">
        <v>150</v>
      </c>
      <c r="D10" s="2" t="s">
        <v>159</v>
      </c>
      <c r="E10" s="2">
        <v>1</v>
      </c>
      <c r="F10" s="2">
        <v>62</v>
      </c>
      <c r="G10" s="2" t="s">
        <v>159</v>
      </c>
      <c r="H10" s="2">
        <v>92</v>
      </c>
      <c r="I10" s="2">
        <v>112</v>
      </c>
      <c r="J10" s="33">
        <v>118</v>
      </c>
    </row>
    <row r="11" spans="1:10" ht="14.45" customHeight="1" x14ac:dyDescent="0.25">
      <c r="A11" s="18" t="s">
        <v>49</v>
      </c>
      <c r="B11" s="2" t="s">
        <v>8</v>
      </c>
      <c r="C11" s="2">
        <v>11</v>
      </c>
      <c r="D11" s="2">
        <v>39</v>
      </c>
      <c r="E11" s="2">
        <v>43</v>
      </c>
      <c r="F11" s="2">
        <v>11</v>
      </c>
      <c r="G11" s="2">
        <v>8</v>
      </c>
      <c r="H11" s="2">
        <v>5</v>
      </c>
      <c r="I11" s="2">
        <v>6</v>
      </c>
      <c r="J11" s="33">
        <v>9</v>
      </c>
    </row>
    <row r="12" spans="1:10" ht="14.45" customHeight="1" x14ac:dyDescent="0.25">
      <c r="A12" s="18" t="s">
        <v>122</v>
      </c>
      <c r="B12" s="2" t="s">
        <v>123</v>
      </c>
      <c r="C12" s="2">
        <v>1</v>
      </c>
      <c r="D12" s="2" t="s">
        <v>159</v>
      </c>
      <c r="E12" s="2" t="s">
        <v>159</v>
      </c>
      <c r="F12" s="2" t="s">
        <v>159</v>
      </c>
      <c r="G12" s="2" t="s">
        <v>159</v>
      </c>
      <c r="H12" s="2" t="s">
        <v>159</v>
      </c>
      <c r="I12" s="2" t="s">
        <v>159</v>
      </c>
      <c r="J12" s="33">
        <v>1</v>
      </c>
    </row>
    <row r="13" spans="1:10" ht="14.45" customHeight="1" x14ac:dyDescent="0.25">
      <c r="A13" s="354" t="s">
        <v>9</v>
      </c>
      <c r="B13" s="354"/>
      <c r="C13" s="8">
        <v>177</v>
      </c>
      <c r="D13" s="8">
        <v>55</v>
      </c>
      <c r="E13" s="8">
        <v>70</v>
      </c>
      <c r="F13" s="8">
        <v>76</v>
      </c>
      <c r="G13" s="8">
        <v>42</v>
      </c>
      <c r="H13" s="8">
        <f>+SUM(H4:H12)</f>
        <v>135</v>
      </c>
      <c r="I13" s="8">
        <v>169</v>
      </c>
      <c r="J13" s="13">
        <v>187</v>
      </c>
    </row>
    <row r="14" spans="1:10" ht="14.45" customHeight="1" x14ac:dyDescent="0.25">
      <c r="A14" s="18" t="s">
        <v>61</v>
      </c>
      <c r="B14" s="2" t="s">
        <v>62</v>
      </c>
      <c r="C14" s="2">
        <v>19</v>
      </c>
      <c r="D14" s="2">
        <v>17</v>
      </c>
      <c r="E14" s="2">
        <v>13</v>
      </c>
      <c r="F14" s="2" t="s">
        <v>159</v>
      </c>
      <c r="G14" s="2" t="s">
        <v>159</v>
      </c>
      <c r="H14" s="2" t="s">
        <v>159</v>
      </c>
      <c r="I14" s="2" t="s">
        <v>159</v>
      </c>
      <c r="J14" s="33" t="s">
        <v>159</v>
      </c>
    </row>
    <row r="15" spans="1:10" ht="14.45" customHeight="1" x14ac:dyDescent="0.25">
      <c r="A15" s="18" t="s">
        <v>36</v>
      </c>
      <c r="B15" s="2" t="s">
        <v>37</v>
      </c>
      <c r="C15" s="2" t="s">
        <v>159</v>
      </c>
      <c r="D15" s="2">
        <v>3</v>
      </c>
      <c r="E15" s="2">
        <v>9</v>
      </c>
      <c r="F15" s="2">
        <v>3</v>
      </c>
      <c r="G15" s="2" t="s">
        <v>159</v>
      </c>
      <c r="H15" s="2" t="s">
        <v>159</v>
      </c>
      <c r="I15" s="2" t="s">
        <v>159</v>
      </c>
      <c r="J15" s="33" t="s">
        <v>159</v>
      </c>
    </row>
    <row r="16" spans="1:10" ht="14.45" customHeight="1" x14ac:dyDescent="0.25">
      <c r="A16" s="18" t="s">
        <v>61</v>
      </c>
      <c r="B16" s="2" t="s">
        <v>124</v>
      </c>
      <c r="C16" s="2" t="s">
        <v>159</v>
      </c>
      <c r="D16" s="2" t="s">
        <v>159</v>
      </c>
      <c r="E16" s="2" t="s">
        <v>159</v>
      </c>
      <c r="F16" s="2" t="s">
        <v>159</v>
      </c>
      <c r="G16" s="2" t="s">
        <v>159</v>
      </c>
      <c r="H16" s="2" t="s">
        <v>159</v>
      </c>
      <c r="I16" s="2" t="s">
        <v>159</v>
      </c>
      <c r="J16" s="33" t="s">
        <v>159</v>
      </c>
    </row>
    <row r="17" spans="1:10" ht="14.45" customHeight="1" x14ac:dyDescent="0.25">
      <c r="A17" s="354" t="s">
        <v>20</v>
      </c>
      <c r="B17" s="354"/>
      <c r="C17" s="8">
        <v>19</v>
      </c>
      <c r="D17" s="8">
        <v>20</v>
      </c>
      <c r="E17" s="8">
        <v>22</v>
      </c>
      <c r="F17" s="8">
        <v>3</v>
      </c>
      <c r="G17" s="8">
        <v>0</v>
      </c>
      <c r="H17" s="8">
        <v>0</v>
      </c>
      <c r="I17" s="8">
        <v>0</v>
      </c>
      <c r="J17" s="13">
        <v>0</v>
      </c>
    </row>
    <row r="18" spans="1:10" ht="14.45" customHeight="1" x14ac:dyDescent="0.25">
      <c r="A18" s="18" t="s">
        <v>28</v>
      </c>
      <c r="B18" s="2">
        <v>8</v>
      </c>
      <c r="C18" s="2">
        <v>1</v>
      </c>
      <c r="D18" s="2">
        <v>1</v>
      </c>
      <c r="E18" s="2">
        <v>3</v>
      </c>
      <c r="F18" s="2" t="s">
        <v>159</v>
      </c>
      <c r="G18" s="2" t="s">
        <v>159</v>
      </c>
      <c r="H18" s="2" t="s">
        <v>159</v>
      </c>
      <c r="I18" s="2" t="s">
        <v>159</v>
      </c>
      <c r="J18" s="33" t="s">
        <v>159</v>
      </c>
    </row>
    <row r="19" spans="1:10" ht="14.45" customHeight="1" x14ac:dyDescent="0.25">
      <c r="A19" s="18" t="s">
        <v>28</v>
      </c>
      <c r="B19" s="2">
        <v>56</v>
      </c>
      <c r="C19" s="2" t="s">
        <v>159</v>
      </c>
      <c r="D19" s="2" t="s">
        <v>159</v>
      </c>
      <c r="E19" s="2" t="s">
        <v>159</v>
      </c>
      <c r="F19" s="2" t="s">
        <v>159</v>
      </c>
      <c r="G19" s="2" t="s">
        <v>159</v>
      </c>
      <c r="H19" s="2" t="s">
        <v>159</v>
      </c>
      <c r="I19" s="2" t="s">
        <v>159</v>
      </c>
      <c r="J19" s="33" t="s">
        <v>159</v>
      </c>
    </row>
    <row r="20" spans="1:10" ht="14.45" customHeight="1" x14ac:dyDescent="0.25">
      <c r="A20" s="18" t="s">
        <v>29</v>
      </c>
      <c r="B20" s="2">
        <v>57</v>
      </c>
      <c r="C20" s="2" t="s">
        <v>159</v>
      </c>
      <c r="D20" s="2" t="s">
        <v>159</v>
      </c>
      <c r="E20" s="2" t="s">
        <v>159</v>
      </c>
      <c r="F20" s="2" t="s">
        <v>159</v>
      </c>
      <c r="G20" s="2">
        <v>2</v>
      </c>
      <c r="H20" s="2" t="s">
        <v>159</v>
      </c>
      <c r="I20" s="2" t="s">
        <v>159</v>
      </c>
      <c r="J20" s="33" t="s">
        <v>159</v>
      </c>
    </row>
    <row r="21" spans="1:10" ht="14.45" customHeight="1" x14ac:dyDescent="0.25">
      <c r="A21" s="18" t="s">
        <v>125</v>
      </c>
      <c r="B21" s="2">
        <v>67</v>
      </c>
      <c r="C21" s="2" t="s">
        <v>159</v>
      </c>
      <c r="D21" s="2">
        <v>8</v>
      </c>
      <c r="E21" s="2">
        <v>4</v>
      </c>
      <c r="F21" s="2">
        <v>1</v>
      </c>
      <c r="G21" s="2" t="s">
        <v>159</v>
      </c>
      <c r="H21" s="2" t="s">
        <v>159</v>
      </c>
      <c r="I21" s="2" t="s">
        <v>159</v>
      </c>
      <c r="J21" s="33" t="s">
        <v>159</v>
      </c>
    </row>
    <row r="22" spans="1:10" ht="14.45" customHeight="1" x14ac:dyDescent="0.25">
      <c r="A22" s="18" t="s">
        <v>28</v>
      </c>
      <c r="B22" s="2">
        <v>88</v>
      </c>
      <c r="C22" s="2" t="s">
        <v>159</v>
      </c>
      <c r="D22" s="2" t="s">
        <v>159</v>
      </c>
      <c r="E22" s="2" t="s">
        <v>159</v>
      </c>
      <c r="F22" s="2" t="s">
        <v>159</v>
      </c>
      <c r="G22" s="2" t="s">
        <v>159</v>
      </c>
      <c r="H22" s="2" t="s">
        <v>159</v>
      </c>
      <c r="I22" s="2" t="s">
        <v>159</v>
      </c>
      <c r="J22" s="33" t="s">
        <v>159</v>
      </c>
    </row>
    <row r="23" spans="1:10" ht="14.45" customHeight="1" x14ac:dyDescent="0.25">
      <c r="A23" s="18" t="s">
        <v>26</v>
      </c>
      <c r="B23" s="2">
        <v>131</v>
      </c>
      <c r="C23" s="2" t="s">
        <v>159</v>
      </c>
      <c r="D23" s="2" t="s">
        <v>159</v>
      </c>
      <c r="E23" s="2" t="s">
        <v>159</v>
      </c>
      <c r="F23" s="2" t="s">
        <v>159</v>
      </c>
      <c r="G23" s="2" t="s">
        <v>159</v>
      </c>
      <c r="H23" s="2" t="s">
        <v>159</v>
      </c>
      <c r="I23" s="2">
        <v>1</v>
      </c>
      <c r="J23" s="33" t="s">
        <v>159</v>
      </c>
    </row>
    <row r="24" spans="1:10" ht="14.45" customHeight="1" x14ac:dyDescent="0.25">
      <c r="A24" s="18" t="s">
        <v>24</v>
      </c>
      <c r="B24" s="2">
        <v>95</v>
      </c>
      <c r="C24" s="2" t="s">
        <v>159</v>
      </c>
      <c r="D24" s="2" t="s">
        <v>159</v>
      </c>
      <c r="E24" s="2">
        <v>1</v>
      </c>
      <c r="F24" s="2" t="s">
        <v>159</v>
      </c>
      <c r="G24" s="2" t="s">
        <v>159</v>
      </c>
      <c r="H24" s="2" t="s">
        <v>159</v>
      </c>
      <c r="I24" s="2"/>
      <c r="J24" s="33" t="s">
        <v>159</v>
      </c>
    </row>
    <row r="25" spans="1:10" ht="14.45" customHeight="1" x14ac:dyDescent="0.25">
      <c r="A25" s="354" t="s">
        <v>30</v>
      </c>
      <c r="B25" s="354"/>
      <c r="C25" s="44">
        <v>1</v>
      </c>
      <c r="D25" s="44">
        <v>9</v>
      </c>
      <c r="E25" s="44">
        <v>8</v>
      </c>
      <c r="F25" s="44">
        <v>1</v>
      </c>
      <c r="G25" s="44">
        <v>2</v>
      </c>
      <c r="H25" s="44">
        <v>0</v>
      </c>
      <c r="I25" s="44">
        <v>1</v>
      </c>
      <c r="J25" s="44">
        <v>0</v>
      </c>
    </row>
    <row r="26" spans="1:10" ht="14.45" customHeight="1" x14ac:dyDescent="0.25">
      <c r="A26" s="353" t="s">
        <v>126</v>
      </c>
      <c r="B26" s="353"/>
      <c r="C26" s="113">
        <f t="shared" ref="C26:G26" si="0">+C13+C17+C25</f>
        <v>197</v>
      </c>
      <c r="D26" s="113">
        <f t="shared" si="0"/>
        <v>84</v>
      </c>
      <c r="E26" s="113">
        <f t="shared" si="0"/>
        <v>100</v>
      </c>
      <c r="F26" s="113">
        <f t="shared" si="0"/>
        <v>80</v>
      </c>
      <c r="G26" s="113">
        <f t="shared" si="0"/>
        <v>44</v>
      </c>
      <c r="H26" s="9">
        <f>+H13+H17+H25</f>
        <v>135</v>
      </c>
      <c r="I26" s="113">
        <f t="shared" ref="I26:J26" si="1">+I13+I17+I25</f>
        <v>170</v>
      </c>
      <c r="J26" s="113">
        <f t="shared" si="1"/>
        <v>187</v>
      </c>
    </row>
    <row r="28" spans="1:10" ht="14.45" customHeight="1" x14ac:dyDescent="0.25">
      <c r="B28" s="239" t="s">
        <v>521</v>
      </c>
    </row>
    <row r="30" spans="1:10" ht="14.45" customHeight="1" x14ac:dyDescent="0.25">
      <c r="B30" s="205" t="s">
        <v>517</v>
      </c>
      <c r="C30" s="238">
        <f>H26+I26+J26</f>
        <v>492</v>
      </c>
    </row>
    <row r="31" spans="1:10" ht="14.45" customHeight="1" x14ac:dyDescent="0.25">
      <c r="B31" s="205">
        <v>2020</v>
      </c>
      <c r="C31" s="238">
        <v>95</v>
      </c>
    </row>
    <row r="32" spans="1:10" ht="14.45" customHeight="1" x14ac:dyDescent="0.25">
      <c r="B32" s="205">
        <v>2021</v>
      </c>
      <c r="C32" s="238">
        <v>94</v>
      </c>
    </row>
    <row r="33" spans="2:3" ht="14.45" customHeight="1" x14ac:dyDescent="0.25">
      <c r="B33" s="205">
        <v>2022</v>
      </c>
      <c r="C33" s="238">
        <v>102</v>
      </c>
    </row>
    <row r="34" spans="2:3" ht="14.45" customHeight="1" x14ac:dyDescent="0.25">
      <c r="B34" s="205" t="s">
        <v>518</v>
      </c>
      <c r="C34" s="238">
        <f>+C31+C32+C33</f>
        <v>291</v>
      </c>
    </row>
  </sheetData>
  <mergeCells count="6">
    <mergeCell ref="A26:B26"/>
    <mergeCell ref="A13:B13"/>
    <mergeCell ref="A17:B17"/>
    <mergeCell ref="A25:B25"/>
    <mergeCell ref="A1:J1"/>
    <mergeCell ref="A2:J2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70"/>
  <sheetViews>
    <sheetView showGridLines="0" topLeftCell="A47" workbookViewId="0">
      <selection activeCell="D13" sqref="D13:D22"/>
    </sheetView>
  </sheetViews>
  <sheetFormatPr baseColWidth="10" defaultColWidth="9.5703125" defaultRowHeight="11.25" x14ac:dyDescent="0.2"/>
  <cols>
    <col min="1" max="1" width="9.5703125" style="11"/>
    <col min="2" max="2" width="9.5703125" style="28"/>
    <col min="3" max="3" width="29" style="20" customWidth="1"/>
    <col min="4" max="4" width="13.7109375" style="176" customWidth="1"/>
    <col min="5" max="5" width="11.28515625" style="15" customWidth="1"/>
    <col min="6" max="6" width="11.85546875" style="15" customWidth="1"/>
    <col min="7" max="7" width="10.5703125" style="28" customWidth="1"/>
    <col min="8" max="16384" width="9.5703125" style="11"/>
  </cols>
  <sheetData>
    <row r="1" spans="2:7" s="10" customFormat="1" ht="14.45" customHeight="1" x14ac:dyDescent="0.2">
      <c r="B1" s="373" t="s">
        <v>420</v>
      </c>
      <c r="C1" s="374"/>
      <c r="D1" s="374"/>
      <c r="E1" s="374"/>
      <c r="F1" s="374"/>
      <c r="G1" s="375"/>
    </row>
    <row r="2" spans="2:7" s="10" customFormat="1" ht="14.45" customHeight="1" x14ac:dyDescent="0.2">
      <c r="B2" s="376" t="s">
        <v>2</v>
      </c>
      <c r="C2" s="377" t="s">
        <v>72</v>
      </c>
      <c r="D2" s="191" t="s">
        <v>127</v>
      </c>
      <c r="E2" s="378" t="s">
        <v>128</v>
      </c>
      <c r="F2" s="378" t="s">
        <v>129</v>
      </c>
      <c r="G2" s="379" t="s">
        <v>130</v>
      </c>
    </row>
    <row r="3" spans="2:7" s="10" customFormat="1" ht="14.45" customHeight="1" x14ac:dyDescent="0.2">
      <c r="B3" s="376"/>
      <c r="C3" s="377"/>
      <c r="D3" s="191" t="s">
        <v>76</v>
      </c>
      <c r="E3" s="378"/>
      <c r="F3" s="378"/>
      <c r="G3" s="379"/>
    </row>
    <row r="4" spans="2:7" ht="14.45" customHeight="1" x14ac:dyDescent="0.2">
      <c r="B4" s="380" t="s">
        <v>118</v>
      </c>
      <c r="C4" s="381" t="s">
        <v>131</v>
      </c>
      <c r="D4" s="201" t="s">
        <v>132</v>
      </c>
      <c r="E4" s="184">
        <v>33596</v>
      </c>
      <c r="F4" s="184">
        <v>33599</v>
      </c>
      <c r="G4" s="382" t="s">
        <v>133</v>
      </c>
    </row>
    <row r="5" spans="2:7" ht="14.45" customHeight="1" x14ac:dyDescent="0.2">
      <c r="B5" s="380"/>
      <c r="C5" s="381"/>
      <c r="D5" s="201" t="s">
        <v>134</v>
      </c>
      <c r="E5" s="184">
        <v>34131</v>
      </c>
      <c r="F5" s="184">
        <v>34131</v>
      </c>
      <c r="G5" s="382"/>
    </row>
    <row r="6" spans="2:7" ht="14.45" customHeight="1" x14ac:dyDescent="0.2">
      <c r="B6" s="380"/>
      <c r="C6" s="381"/>
      <c r="D6" s="201" t="s">
        <v>135</v>
      </c>
      <c r="E6" s="184">
        <v>34906</v>
      </c>
      <c r="F6" s="184">
        <v>34911</v>
      </c>
      <c r="G6" s="382"/>
    </row>
    <row r="7" spans="2:7" ht="14.45" customHeight="1" x14ac:dyDescent="0.2">
      <c r="B7" s="380"/>
      <c r="C7" s="381"/>
      <c r="D7" s="201" t="s">
        <v>136</v>
      </c>
      <c r="E7" s="184">
        <v>35995</v>
      </c>
      <c r="F7" s="184">
        <v>36020</v>
      </c>
      <c r="G7" s="382"/>
    </row>
    <row r="8" spans="2:7" ht="14.45" customHeight="1" x14ac:dyDescent="0.2">
      <c r="B8" s="380"/>
      <c r="C8" s="381"/>
      <c r="D8" s="201" t="s">
        <v>137</v>
      </c>
      <c r="E8" s="184">
        <v>37401</v>
      </c>
      <c r="F8" s="184">
        <v>37424</v>
      </c>
      <c r="G8" s="382"/>
    </row>
    <row r="9" spans="2:7" ht="14.45" customHeight="1" x14ac:dyDescent="0.2">
      <c r="B9" s="380"/>
      <c r="C9" s="381"/>
      <c r="D9" s="201" t="s">
        <v>137</v>
      </c>
      <c r="E9" s="184">
        <v>40259</v>
      </c>
      <c r="F9" s="184">
        <v>40259</v>
      </c>
      <c r="G9" s="382"/>
    </row>
    <row r="10" spans="2:7" ht="14.45" customHeight="1" x14ac:dyDescent="0.2">
      <c r="B10" s="370" t="s">
        <v>138</v>
      </c>
      <c r="C10" s="383" t="s">
        <v>139</v>
      </c>
      <c r="D10" s="202" t="s">
        <v>140</v>
      </c>
      <c r="E10" s="190">
        <v>35044</v>
      </c>
      <c r="F10" s="190">
        <v>35069</v>
      </c>
      <c r="G10" s="372" t="s">
        <v>82</v>
      </c>
    </row>
    <row r="11" spans="2:7" ht="14.45" customHeight="1" x14ac:dyDescent="0.2">
      <c r="B11" s="370"/>
      <c r="C11" s="383"/>
      <c r="D11" s="202" t="s">
        <v>141</v>
      </c>
      <c r="E11" s="190">
        <v>35676</v>
      </c>
      <c r="F11" s="190">
        <v>35704</v>
      </c>
      <c r="G11" s="372"/>
    </row>
    <row r="12" spans="2:7" ht="14.45" customHeight="1" x14ac:dyDescent="0.2">
      <c r="B12" s="370"/>
      <c r="C12" s="383"/>
      <c r="D12" s="202" t="s">
        <v>142</v>
      </c>
      <c r="E12" s="190">
        <v>36393</v>
      </c>
      <c r="F12" s="190">
        <v>36467</v>
      </c>
      <c r="G12" s="372"/>
    </row>
    <row r="13" spans="2:7" ht="14.45" customHeight="1" x14ac:dyDescent="0.2">
      <c r="B13" s="370"/>
      <c r="C13" s="383"/>
      <c r="D13" s="202" t="s">
        <v>143</v>
      </c>
      <c r="E13" s="190">
        <v>38141</v>
      </c>
      <c r="F13" s="190">
        <v>38154</v>
      </c>
      <c r="G13" s="372"/>
    </row>
    <row r="14" spans="2:7" ht="14.45" customHeight="1" x14ac:dyDescent="0.2">
      <c r="B14" s="370"/>
      <c r="C14" s="383"/>
      <c r="D14" s="202" t="s">
        <v>144</v>
      </c>
      <c r="E14" s="190">
        <v>38386</v>
      </c>
      <c r="F14" s="190">
        <v>38412</v>
      </c>
      <c r="G14" s="372"/>
    </row>
    <row r="15" spans="2:7" ht="14.45" customHeight="1" x14ac:dyDescent="0.2">
      <c r="B15" s="370"/>
      <c r="C15" s="383"/>
      <c r="D15" s="202" t="s">
        <v>145</v>
      </c>
      <c r="E15" s="190">
        <v>38575</v>
      </c>
      <c r="F15" s="190">
        <v>38589</v>
      </c>
      <c r="G15" s="372"/>
    </row>
    <row r="16" spans="2:7" ht="14.45" customHeight="1" x14ac:dyDescent="0.2">
      <c r="B16" s="370"/>
      <c r="C16" s="383"/>
      <c r="D16" s="202" t="s">
        <v>455</v>
      </c>
      <c r="E16" s="190">
        <v>42204</v>
      </c>
      <c r="F16" s="190">
        <v>42226</v>
      </c>
      <c r="G16" s="372"/>
    </row>
    <row r="17" spans="2:7" ht="14.45" customHeight="1" x14ac:dyDescent="0.2">
      <c r="B17" s="194" t="s">
        <v>47</v>
      </c>
      <c r="C17" s="195" t="s">
        <v>131</v>
      </c>
      <c r="D17" s="201" t="s">
        <v>146</v>
      </c>
      <c r="E17" s="184">
        <v>42094</v>
      </c>
      <c r="F17" s="184">
        <v>42099</v>
      </c>
      <c r="G17" s="196" t="s">
        <v>82</v>
      </c>
    </row>
    <row r="18" spans="2:7" ht="14.45" customHeight="1" x14ac:dyDescent="0.2">
      <c r="B18" s="197" t="s">
        <v>46</v>
      </c>
      <c r="C18" s="198" t="s">
        <v>131</v>
      </c>
      <c r="D18" s="202" t="s">
        <v>147</v>
      </c>
      <c r="E18" s="190">
        <v>42094</v>
      </c>
      <c r="F18" s="190">
        <v>42099</v>
      </c>
      <c r="G18" s="199" t="s">
        <v>82</v>
      </c>
    </row>
    <row r="19" spans="2:7" ht="14.45" customHeight="1" x14ac:dyDescent="0.2">
      <c r="B19" s="380" t="s">
        <v>119</v>
      </c>
      <c r="C19" s="381" t="s">
        <v>148</v>
      </c>
      <c r="D19" s="201" t="s">
        <v>149</v>
      </c>
      <c r="E19" s="184">
        <v>34222</v>
      </c>
      <c r="F19" s="184">
        <v>34250</v>
      </c>
      <c r="G19" s="382" t="s">
        <v>133</v>
      </c>
    </row>
    <row r="20" spans="2:7" ht="14.45" customHeight="1" x14ac:dyDescent="0.2">
      <c r="B20" s="380"/>
      <c r="C20" s="381"/>
      <c r="D20" s="201" t="s">
        <v>150</v>
      </c>
      <c r="E20" s="184">
        <v>37526</v>
      </c>
      <c r="F20" s="184">
        <v>37550</v>
      </c>
      <c r="G20" s="382"/>
    </row>
    <row r="21" spans="2:7" ht="14.45" customHeight="1" x14ac:dyDescent="0.2">
      <c r="B21" s="370" t="s">
        <v>151</v>
      </c>
      <c r="C21" s="371" t="s">
        <v>152</v>
      </c>
      <c r="D21" s="202" t="s">
        <v>153</v>
      </c>
      <c r="E21" s="190">
        <v>34225</v>
      </c>
      <c r="F21" s="190">
        <v>34264</v>
      </c>
      <c r="G21" s="372" t="s">
        <v>82</v>
      </c>
    </row>
    <row r="22" spans="2:7" ht="14.45" customHeight="1" x14ac:dyDescent="0.2">
      <c r="B22" s="370"/>
      <c r="C22" s="371"/>
      <c r="D22" s="202" t="s">
        <v>154</v>
      </c>
      <c r="E22" s="190">
        <v>35081</v>
      </c>
      <c r="F22" s="190">
        <v>35116</v>
      </c>
      <c r="G22" s="372"/>
    </row>
    <row r="23" spans="2:7" ht="14.45" customHeight="1" x14ac:dyDescent="0.2">
      <c r="B23" s="370"/>
      <c r="C23" s="371"/>
      <c r="D23" s="202" t="s">
        <v>155</v>
      </c>
      <c r="E23" s="190">
        <v>36627</v>
      </c>
      <c r="F23" s="190">
        <v>36647</v>
      </c>
      <c r="G23" s="372"/>
    </row>
    <row r="24" spans="2:7" ht="14.45" customHeight="1" x14ac:dyDescent="0.2">
      <c r="B24" s="370"/>
      <c r="C24" s="371"/>
      <c r="D24" s="202" t="s">
        <v>156</v>
      </c>
      <c r="E24" s="190">
        <v>37762</v>
      </c>
      <c r="F24" s="190">
        <v>37788</v>
      </c>
      <c r="G24" s="372"/>
    </row>
    <row r="25" spans="2:7" ht="14.45" customHeight="1" x14ac:dyDescent="0.2">
      <c r="B25" s="370"/>
      <c r="C25" s="371"/>
      <c r="D25" s="202" t="s">
        <v>157</v>
      </c>
      <c r="E25" s="190">
        <v>38723</v>
      </c>
      <c r="F25" s="190">
        <v>38779</v>
      </c>
      <c r="G25" s="372"/>
    </row>
    <row r="26" spans="2:7" ht="14.45" customHeight="1" x14ac:dyDescent="0.2">
      <c r="B26" s="197"/>
      <c r="C26" s="198"/>
      <c r="D26" s="202" t="s">
        <v>158</v>
      </c>
      <c r="E26" s="189" t="s">
        <v>159</v>
      </c>
      <c r="F26" s="190">
        <v>42209</v>
      </c>
      <c r="G26" s="199"/>
    </row>
    <row r="27" spans="2:7" ht="22.5" x14ac:dyDescent="0.2">
      <c r="B27" s="194" t="s">
        <v>58</v>
      </c>
      <c r="C27" s="195" t="s">
        <v>160</v>
      </c>
      <c r="D27" s="201" t="s">
        <v>161</v>
      </c>
      <c r="E27" s="184">
        <v>34136</v>
      </c>
      <c r="F27" s="184">
        <v>42171</v>
      </c>
      <c r="G27" s="196" t="s">
        <v>82</v>
      </c>
    </row>
    <row r="28" spans="2:7" ht="14.45" customHeight="1" x14ac:dyDescent="0.2">
      <c r="B28" s="370" t="s">
        <v>48</v>
      </c>
      <c r="C28" s="371" t="s">
        <v>162</v>
      </c>
      <c r="D28" s="202" t="s">
        <v>163</v>
      </c>
      <c r="E28" s="190">
        <v>34408</v>
      </c>
      <c r="F28" s="190">
        <v>34474</v>
      </c>
      <c r="G28" s="372" t="s">
        <v>82</v>
      </c>
    </row>
    <row r="29" spans="2:7" ht="14.45" customHeight="1" x14ac:dyDescent="0.2">
      <c r="B29" s="370"/>
      <c r="C29" s="371"/>
      <c r="D29" s="202" t="s">
        <v>164</v>
      </c>
      <c r="E29" s="190">
        <v>35355</v>
      </c>
      <c r="F29" s="190">
        <v>35355</v>
      </c>
      <c r="G29" s="372"/>
    </row>
    <row r="30" spans="2:7" ht="14.45" customHeight="1" x14ac:dyDescent="0.2">
      <c r="B30" s="370"/>
      <c r="C30" s="371"/>
      <c r="D30" s="202" t="s">
        <v>165</v>
      </c>
      <c r="E30" s="190">
        <v>35415</v>
      </c>
      <c r="F30" s="190">
        <v>35416</v>
      </c>
      <c r="G30" s="372"/>
    </row>
    <row r="31" spans="2:7" ht="14.45" customHeight="1" x14ac:dyDescent="0.2">
      <c r="B31" s="370"/>
      <c r="C31" s="371"/>
      <c r="D31" s="202" t="s">
        <v>166</v>
      </c>
      <c r="E31" s="190">
        <v>36627</v>
      </c>
      <c r="F31" s="190">
        <v>37384</v>
      </c>
      <c r="G31" s="372"/>
    </row>
    <row r="32" spans="2:7" ht="14.45" customHeight="1" x14ac:dyDescent="0.2">
      <c r="B32" s="370"/>
      <c r="C32" s="371"/>
      <c r="D32" s="202" t="s">
        <v>167</v>
      </c>
      <c r="E32" s="190">
        <v>37058</v>
      </c>
      <c r="F32" s="190">
        <v>37088</v>
      </c>
      <c r="G32" s="372"/>
    </row>
    <row r="33" spans="2:7" ht="14.45" customHeight="1" x14ac:dyDescent="0.2">
      <c r="B33" s="370"/>
      <c r="C33" s="371"/>
      <c r="D33" s="202" t="s">
        <v>168</v>
      </c>
      <c r="E33" s="190">
        <v>38163</v>
      </c>
      <c r="F33" s="190">
        <v>38189</v>
      </c>
      <c r="G33" s="372"/>
    </row>
    <row r="34" spans="2:7" ht="14.45" customHeight="1" x14ac:dyDescent="0.2">
      <c r="B34" s="370"/>
      <c r="C34" s="371"/>
      <c r="D34" s="202" t="s">
        <v>169</v>
      </c>
      <c r="E34" s="190">
        <v>38246</v>
      </c>
      <c r="F34" s="190">
        <v>38246</v>
      </c>
      <c r="G34" s="372"/>
    </row>
    <row r="35" spans="2:7" ht="14.45" customHeight="1" x14ac:dyDescent="0.2">
      <c r="B35" s="370"/>
      <c r="C35" s="371"/>
      <c r="D35" s="202" t="s">
        <v>457</v>
      </c>
      <c r="E35" s="190">
        <v>41789</v>
      </c>
      <c r="F35" s="190">
        <v>41949</v>
      </c>
      <c r="G35" s="372"/>
    </row>
    <row r="36" spans="2:7" ht="14.45" customHeight="1" x14ac:dyDescent="0.2">
      <c r="B36" s="370"/>
      <c r="C36" s="371"/>
      <c r="D36" s="202" t="s">
        <v>456</v>
      </c>
      <c r="E36" s="190">
        <v>43568</v>
      </c>
      <c r="F36" s="190">
        <v>43647</v>
      </c>
      <c r="G36" s="372"/>
    </row>
    <row r="37" spans="2:7" ht="14.45" customHeight="1" x14ac:dyDescent="0.2">
      <c r="B37" s="380" t="s">
        <v>8</v>
      </c>
      <c r="C37" s="381" t="s">
        <v>170</v>
      </c>
      <c r="D37" s="201" t="s">
        <v>171</v>
      </c>
      <c r="E37" s="184">
        <v>35148</v>
      </c>
      <c r="F37" s="184">
        <v>35215</v>
      </c>
      <c r="G37" s="382" t="s">
        <v>82</v>
      </c>
    </row>
    <row r="38" spans="2:7" ht="14.45" customHeight="1" x14ac:dyDescent="0.2">
      <c r="B38" s="380"/>
      <c r="C38" s="381"/>
      <c r="D38" s="201" t="s">
        <v>172</v>
      </c>
      <c r="E38" s="184">
        <v>39535</v>
      </c>
      <c r="F38" s="184">
        <v>39824</v>
      </c>
      <c r="G38" s="382"/>
    </row>
    <row r="39" spans="2:7" ht="14.45" customHeight="1" x14ac:dyDescent="0.2">
      <c r="B39" s="380"/>
      <c r="C39" s="381"/>
      <c r="D39" s="201" t="s">
        <v>458</v>
      </c>
      <c r="E39" s="184">
        <v>40908</v>
      </c>
      <c r="F39" s="184">
        <v>40908</v>
      </c>
      <c r="G39" s="382"/>
    </row>
    <row r="40" spans="2:7" ht="14.45" customHeight="1" x14ac:dyDescent="0.2">
      <c r="B40" s="370" t="s">
        <v>123</v>
      </c>
      <c r="C40" s="371" t="s">
        <v>139</v>
      </c>
      <c r="D40" s="202" t="s">
        <v>173</v>
      </c>
      <c r="E40" s="190">
        <v>35903</v>
      </c>
      <c r="F40" s="190">
        <v>35941</v>
      </c>
      <c r="G40" s="372" t="s">
        <v>82</v>
      </c>
    </row>
    <row r="41" spans="2:7" ht="14.45" customHeight="1" x14ac:dyDescent="0.2">
      <c r="B41" s="370"/>
      <c r="C41" s="371"/>
      <c r="D41" s="202" t="s">
        <v>174</v>
      </c>
      <c r="E41" s="190">
        <v>36533</v>
      </c>
      <c r="F41" s="190">
        <v>36581</v>
      </c>
      <c r="G41" s="372"/>
    </row>
    <row r="42" spans="2:7" ht="14.45" customHeight="1" x14ac:dyDescent="0.2">
      <c r="B42" s="370"/>
      <c r="C42" s="371"/>
      <c r="D42" s="202" t="s">
        <v>459</v>
      </c>
      <c r="E42" s="190">
        <v>42000</v>
      </c>
      <c r="F42" s="190">
        <v>42033</v>
      </c>
      <c r="G42" s="372"/>
    </row>
    <row r="43" spans="2:7" ht="14.45" customHeight="1" x14ac:dyDescent="0.2">
      <c r="B43" s="380" t="s">
        <v>175</v>
      </c>
      <c r="C43" s="381" t="s">
        <v>139</v>
      </c>
      <c r="D43" s="201" t="s">
        <v>176</v>
      </c>
      <c r="E43" s="184">
        <v>38722</v>
      </c>
      <c r="F43" s="184">
        <v>38736</v>
      </c>
      <c r="G43" s="382"/>
    </row>
    <row r="44" spans="2:7" ht="14.45" customHeight="1" x14ac:dyDescent="0.2">
      <c r="B44" s="380"/>
      <c r="C44" s="381"/>
      <c r="D44" s="201" t="s">
        <v>177</v>
      </c>
      <c r="E44" s="184">
        <v>39721</v>
      </c>
      <c r="F44" s="184">
        <v>39791</v>
      </c>
      <c r="G44" s="382"/>
    </row>
    <row r="45" spans="2:7" ht="14.45" customHeight="1" x14ac:dyDescent="0.2">
      <c r="B45" s="370" t="s">
        <v>62</v>
      </c>
      <c r="C45" s="371" t="s">
        <v>178</v>
      </c>
      <c r="D45" s="202" t="s">
        <v>179</v>
      </c>
      <c r="E45" s="190">
        <v>34274</v>
      </c>
      <c r="F45" s="190">
        <v>34289</v>
      </c>
      <c r="G45" s="372" t="s">
        <v>180</v>
      </c>
    </row>
    <row r="46" spans="2:7" ht="14.45" customHeight="1" x14ac:dyDescent="0.2">
      <c r="B46" s="370"/>
      <c r="C46" s="371"/>
      <c r="D46" s="202" t="s">
        <v>460</v>
      </c>
      <c r="E46" s="190">
        <v>36525</v>
      </c>
      <c r="F46" s="190">
        <v>36525</v>
      </c>
      <c r="G46" s="372"/>
    </row>
    <row r="47" spans="2:7" x14ac:dyDescent="0.2">
      <c r="B47" s="384" t="s">
        <v>37</v>
      </c>
      <c r="C47" s="387" t="s">
        <v>461</v>
      </c>
      <c r="D47" s="203" t="s">
        <v>181</v>
      </c>
      <c r="E47" s="188">
        <v>37209</v>
      </c>
      <c r="F47" s="188">
        <v>37225</v>
      </c>
      <c r="G47" s="388" t="s">
        <v>82</v>
      </c>
    </row>
    <row r="48" spans="2:7" x14ac:dyDescent="0.2">
      <c r="B48" s="384"/>
      <c r="C48" s="387"/>
      <c r="D48" s="203" t="s">
        <v>421</v>
      </c>
      <c r="E48" s="188">
        <v>37554</v>
      </c>
      <c r="F48" s="188">
        <v>37644</v>
      </c>
      <c r="G48" s="388"/>
    </row>
    <row r="49" spans="2:7" x14ac:dyDescent="0.2">
      <c r="B49" s="384"/>
      <c r="C49" s="387"/>
      <c r="D49" s="203" t="s">
        <v>422</v>
      </c>
      <c r="E49" s="188">
        <v>38030</v>
      </c>
      <c r="F49" s="188">
        <v>38064</v>
      </c>
      <c r="G49" s="388"/>
    </row>
    <row r="50" spans="2:7" x14ac:dyDescent="0.2">
      <c r="B50" s="384"/>
      <c r="C50" s="387"/>
      <c r="D50" s="203" t="s">
        <v>423</v>
      </c>
      <c r="E50" s="188">
        <v>38189</v>
      </c>
      <c r="F50" s="188">
        <v>38194</v>
      </c>
      <c r="G50" s="388"/>
    </row>
    <row r="51" spans="2:7" x14ac:dyDescent="0.2">
      <c r="B51" s="384"/>
      <c r="C51" s="387"/>
      <c r="D51" s="203" t="s">
        <v>424</v>
      </c>
      <c r="E51" s="188">
        <v>38386</v>
      </c>
      <c r="F51" s="188">
        <v>38386</v>
      </c>
      <c r="G51" s="388"/>
    </row>
    <row r="52" spans="2:7" x14ac:dyDescent="0.2">
      <c r="B52" s="384"/>
      <c r="C52" s="387"/>
      <c r="D52" s="203" t="s">
        <v>425</v>
      </c>
      <c r="E52" s="188">
        <v>39780</v>
      </c>
      <c r="F52" s="188">
        <v>39825</v>
      </c>
      <c r="G52" s="388"/>
    </row>
    <row r="53" spans="2:7" x14ac:dyDescent="0.2">
      <c r="B53" s="384"/>
      <c r="C53" s="387"/>
      <c r="D53" s="203" t="s">
        <v>426</v>
      </c>
      <c r="E53" s="188">
        <v>41272</v>
      </c>
      <c r="F53" s="188">
        <v>41277</v>
      </c>
      <c r="G53" s="388"/>
    </row>
    <row r="54" spans="2:7" ht="14.45" customHeight="1" x14ac:dyDescent="0.2">
      <c r="B54" s="370" t="s">
        <v>124</v>
      </c>
      <c r="C54" s="371" t="s">
        <v>182</v>
      </c>
      <c r="D54" s="202" t="s">
        <v>183</v>
      </c>
      <c r="E54" s="190">
        <v>37307</v>
      </c>
      <c r="F54" s="190">
        <v>37335</v>
      </c>
      <c r="G54" s="372" t="s">
        <v>184</v>
      </c>
    </row>
    <row r="55" spans="2:7" ht="14.45" customHeight="1" x14ac:dyDescent="0.2">
      <c r="B55" s="370"/>
      <c r="C55" s="371"/>
      <c r="D55" s="202" t="s">
        <v>185</v>
      </c>
      <c r="E55" s="190">
        <v>38634</v>
      </c>
      <c r="F55" s="190">
        <v>38670</v>
      </c>
      <c r="G55" s="372"/>
    </row>
    <row r="56" spans="2:7" ht="14.45" customHeight="1" x14ac:dyDescent="0.2">
      <c r="B56" s="194">
        <v>192</v>
      </c>
      <c r="C56" s="195" t="s">
        <v>186</v>
      </c>
      <c r="D56" s="201" t="s">
        <v>187</v>
      </c>
      <c r="E56" s="184">
        <v>42245</v>
      </c>
      <c r="F56" s="184">
        <v>42246</v>
      </c>
      <c r="G56" s="196" t="s">
        <v>133</v>
      </c>
    </row>
    <row r="57" spans="2:7" ht="16.5" customHeight="1" x14ac:dyDescent="0.2">
      <c r="B57" s="370">
        <v>8</v>
      </c>
      <c r="C57" s="371" t="s">
        <v>462</v>
      </c>
      <c r="D57" s="202" t="s">
        <v>188</v>
      </c>
      <c r="E57" s="190">
        <v>34409</v>
      </c>
      <c r="F57" s="190">
        <v>34474</v>
      </c>
      <c r="G57" s="372" t="s">
        <v>82</v>
      </c>
    </row>
    <row r="58" spans="2:7" ht="16.5" customHeight="1" x14ac:dyDescent="0.2">
      <c r="B58" s="370"/>
      <c r="C58" s="371"/>
      <c r="D58" s="202" t="s">
        <v>189</v>
      </c>
      <c r="E58" s="190">
        <v>35267</v>
      </c>
      <c r="F58" s="190">
        <v>35268</v>
      </c>
      <c r="G58" s="372"/>
    </row>
    <row r="59" spans="2:7" ht="16.5" customHeight="1" x14ac:dyDescent="0.2">
      <c r="B59" s="370"/>
      <c r="C59" s="371"/>
      <c r="D59" s="202" t="s">
        <v>190</v>
      </c>
      <c r="E59" s="190">
        <v>37505</v>
      </c>
      <c r="F59" s="190">
        <v>37608</v>
      </c>
      <c r="G59" s="372"/>
    </row>
    <row r="60" spans="2:7" ht="16.5" customHeight="1" x14ac:dyDescent="0.2">
      <c r="B60" s="370"/>
      <c r="C60" s="371"/>
      <c r="D60" s="202" t="s">
        <v>191</v>
      </c>
      <c r="E60" s="190">
        <v>37700</v>
      </c>
      <c r="F60" s="190">
        <v>37757</v>
      </c>
      <c r="G60" s="372"/>
    </row>
    <row r="61" spans="2:7" ht="16.5" customHeight="1" x14ac:dyDescent="0.2">
      <c r="B61" s="370"/>
      <c r="C61" s="371"/>
      <c r="D61" s="202" t="s">
        <v>192</v>
      </c>
      <c r="E61" s="190">
        <v>40242</v>
      </c>
      <c r="F61" s="190">
        <v>40359</v>
      </c>
      <c r="G61" s="372"/>
    </row>
    <row r="62" spans="2:7" s="93" customFormat="1" ht="16.5" customHeight="1" x14ac:dyDescent="0.2">
      <c r="B62" s="389">
        <v>39</v>
      </c>
      <c r="C62" s="385" t="s">
        <v>463</v>
      </c>
      <c r="D62" s="203" t="s">
        <v>464</v>
      </c>
      <c r="E62" s="188">
        <v>36349</v>
      </c>
      <c r="F62" s="188">
        <v>36412</v>
      </c>
      <c r="G62" s="388" t="s">
        <v>82</v>
      </c>
    </row>
    <row r="63" spans="2:7" s="93" customFormat="1" ht="16.5" customHeight="1" x14ac:dyDescent="0.2">
      <c r="B63" s="389"/>
      <c r="C63" s="385"/>
      <c r="D63" s="203" t="s">
        <v>465</v>
      </c>
      <c r="E63" s="188">
        <v>36927</v>
      </c>
      <c r="F63" s="188">
        <v>37004</v>
      </c>
      <c r="G63" s="388"/>
    </row>
    <row r="64" spans="2:7" s="93" customFormat="1" ht="16.5" customHeight="1" x14ac:dyDescent="0.2">
      <c r="B64" s="389"/>
      <c r="C64" s="385"/>
      <c r="D64" s="203" t="s">
        <v>466</v>
      </c>
      <c r="E64" s="188">
        <v>37554</v>
      </c>
      <c r="F64" s="188">
        <v>37644</v>
      </c>
      <c r="G64" s="388"/>
    </row>
    <row r="65" spans="2:7" s="93" customFormat="1" ht="16.5" customHeight="1" x14ac:dyDescent="0.2">
      <c r="B65" s="389"/>
      <c r="C65" s="385"/>
      <c r="D65" s="203" t="s">
        <v>467</v>
      </c>
      <c r="E65" s="188">
        <v>37748</v>
      </c>
      <c r="F65" s="188">
        <v>37770</v>
      </c>
      <c r="G65" s="388"/>
    </row>
    <row r="66" spans="2:7" s="93" customFormat="1" ht="16.5" customHeight="1" x14ac:dyDescent="0.2">
      <c r="B66" s="389"/>
      <c r="C66" s="385"/>
      <c r="D66" s="203" t="s">
        <v>468</v>
      </c>
      <c r="E66" s="188">
        <v>37936</v>
      </c>
      <c r="F66" s="188">
        <v>37952</v>
      </c>
      <c r="G66" s="388"/>
    </row>
    <row r="67" spans="2:7" s="93" customFormat="1" ht="16.5" customHeight="1" x14ac:dyDescent="0.2">
      <c r="B67" s="389"/>
      <c r="C67" s="385"/>
      <c r="D67" s="203" t="s">
        <v>469</v>
      </c>
      <c r="E67" s="188">
        <v>38526</v>
      </c>
      <c r="F67" s="188">
        <v>38589</v>
      </c>
      <c r="G67" s="388"/>
    </row>
    <row r="68" spans="2:7" s="93" customFormat="1" ht="16.5" customHeight="1" x14ac:dyDescent="0.2">
      <c r="B68" s="389"/>
      <c r="C68" s="385"/>
      <c r="D68" s="203" t="s">
        <v>470</v>
      </c>
      <c r="E68" s="188">
        <v>38672</v>
      </c>
      <c r="F68" s="188">
        <v>38674</v>
      </c>
      <c r="G68" s="388"/>
    </row>
    <row r="69" spans="2:7" s="93" customFormat="1" ht="16.5" customHeight="1" x14ac:dyDescent="0.2">
      <c r="B69" s="389"/>
      <c r="C69" s="385"/>
      <c r="D69" s="203" t="s">
        <v>471</v>
      </c>
      <c r="E69" s="188">
        <v>38862</v>
      </c>
      <c r="F69" s="188">
        <v>38936</v>
      </c>
      <c r="G69" s="388"/>
    </row>
    <row r="70" spans="2:7" s="93" customFormat="1" ht="21.75" customHeight="1" x14ac:dyDescent="0.2">
      <c r="B70" s="390"/>
      <c r="C70" s="386"/>
      <c r="D70" s="204" t="s">
        <v>472</v>
      </c>
      <c r="E70" s="200" t="s">
        <v>473</v>
      </c>
      <c r="F70" s="200" t="s">
        <v>474</v>
      </c>
      <c r="G70" s="391"/>
    </row>
  </sheetData>
  <mergeCells count="45">
    <mergeCell ref="C62:C70"/>
    <mergeCell ref="C45:C46"/>
    <mergeCell ref="B45:B46"/>
    <mergeCell ref="G45:G46"/>
    <mergeCell ref="C47:C53"/>
    <mergeCell ref="G47:G53"/>
    <mergeCell ref="B62:B70"/>
    <mergeCell ref="G62:G70"/>
    <mergeCell ref="G43:G44"/>
    <mergeCell ref="B54:B55"/>
    <mergeCell ref="C54:C55"/>
    <mergeCell ref="G54:G55"/>
    <mergeCell ref="B57:B61"/>
    <mergeCell ref="G57:G61"/>
    <mergeCell ref="B47:B53"/>
    <mergeCell ref="B43:B44"/>
    <mergeCell ref="C43:C44"/>
    <mergeCell ref="C57:C61"/>
    <mergeCell ref="B37:B39"/>
    <mergeCell ref="C37:C39"/>
    <mergeCell ref="G37:G39"/>
    <mergeCell ref="B40:B42"/>
    <mergeCell ref="C40:C42"/>
    <mergeCell ref="G40:G42"/>
    <mergeCell ref="B21:B25"/>
    <mergeCell ref="C21:C25"/>
    <mergeCell ref="G21:G25"/>
    <mergeCell ref="B19:B20"/>
    <mergeCell ref="C19:C20"/>
    <mergeCell ref="B28:B36"/>
    <mergeCell ref="C28:C36"/>
    <mergeCell ref="G28:G36"/>
    <mergeCell ref="B1:G1"/>
    <mergeCell ref="B2:B3"/>
    <mergeCell ref="C2:C3"/>
    <mergeCell ref="E2:E3"/>
    <mergeCell ref="F2:F3"/>
    <mergeCell ref="G2:G3"/>
    <mergeCell ref="B4:B9"/>
    <mergeCell ref="C4:C9"/>
    <mergeCell ref="G4:G9"/>
    <mergeCell ref="B10:B16"/>
    <mergeCell ref="C10:C16"/>
    <mergeCell ref="G10:G16"/>
    <mergeCell ref="G19:G20"/>
  </mergeCells>
  <pageMargins left="0.7" right="0.7" top="0.75" bottom="0.75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L54"/>
  <sheetViews>
    <sheetView showGridLines="0" topLeftCell="I10" workbookViewId="0">
      <selection activeCell="D13" sqref="D13:D22"/>
    </sheetView>
  </sheetViews>
  <sheetFormatPr baseColWidth="10" defaultColWidth="11.42578125" defaultRowHeight="14.45" customHeight="1" x14ac:dyDescent="0.25"/>
  <cols>
    <col min="1" max="2" width="11.42578125" style="15"/>
    <col min="3" max="3" width="11.42578125" style="28"/>
    <col min="4" max="4" width="31.42578125" style="20" customWidth="1"/>
    <col min="5" max="7" width="11.42578125" style="15"/>
    <col min="8" max="8" width="11.42578125" style="28"/>
    <col min="9" max="16384" width="11.42578125" style="15"/>
  </cols>
  <sheetData>
    <row r="1" spans="3:12" s="28" customFormat="1" ht="14.45" customHeight="1" x14ac:dyDescent="0.25">
      <c r="C1" s="373" t="s">
        <v>427</v>
      </c>
      <c r="D1" s="374"/>
      <c r="E1" s="374"/>
      <c r="F1" s="374"/>
      <c r="G1" s="374"/>
      <c r="H1" s="375"/>
    </row>
    <row r="2" spans="3:12" s="28" customFormat="1" ht="14.45" customHeight="1" x14ac:dyDescent="0.25">
      <c r="C2" s="376" t="s">
        <v>2</v>
      </c>
      <c r="D2" s="377" t="s">
        <v>72</v>
      </c>
      <c r="E2" s="191" t="s">
        <v>127</v>
      </c>
      <c r="F2" s="378" t="s">
        <v>128</v>
      </c>
      <c r="G2" s="378" t="s">
        <v>129</v>
      </c>
      <c r="H2" s="379" t="s">
        <v>130</v>
      </c>
    </row>
    <row r="3" spans="3:12" s="28" customFormat="1" ht="14.45" customHeight="1" x14ac:dyDescent="0.25">
      <c r="C3" s="376"/>
      <c r="D3" s="377"/>
      <c r="E3" s="191" t="s">
        <v>76</v>
      </c>
      <c r="F3" s="378"/>
      <c r="G3" s="378"/>
      <c r="H3" s="379"/>
    </row>
    <row r="4" spans="3:12" s="176" customFormat="1" ht="14.45" customHeight="1" x14ac:dyDescent="0.25">
      <c r="C4" s="393">
        <v>67</v>
      </c>
      <c r="D4" s="392" t="s">
        <v>477</v>
      </c>
      <c r="E4" s="192" t="s">
        <v>193</v>
      </c>
      <c r="F4" s="193">
        <v>35043</v>
      </c>
      <c r="G4" s="193">
        <v>35046</v>
      </c>
      <c r="H4" s="394" t="s">
        <v>82</v>
      </c>
    </row>
    <row r="5" spans="3:12" s="176" customFormat="1" ht="14.45" customHeight="1" x14ac:dyDescent="0.25">
      <c r="C5" s="393"/>
      <c r="D5" s="392"/>
      <c r="E5" s="192" t="s">
        <v>194</v>
      </c>
      <c r="F5" s="193">
        <v>35790</v>
      </c>
      <c r="G5" s="193">
        <v>35852</v>
      </c>
      <c r="H5" s="394"/>
    </row>
    <row r="6" spans="3:12" s="176" customFormat="1" ht="14.45" customHeight="1" x14ac:dyDescent="0.25">
      <c r="C6" s="393"/>
      <c r="D6" s="392"/>
      <c r="E6" s="192" t="s">
        <v>195</v>
      </c>
      <c r="F6" s="193">
        <v>36421</v>
      </c>
      <c r="G6" s="193">
        <v>36549</v>
      </c>
      <c r="H6" s="394"/>
    </row>
    <row r="7" spans="3:12" s="176" customFormat="1" ht="14.45" customHeight="1" x14ac:dyDescent="0.25">
      <c r="C7" s="393"/>
      <c r="D7" s="392"/>
      <c r="E7" s="192" t="s">
        <v>196</v>
      </c>
      <c r="F7" s="193">
        <v>36927</v>
      </c>
      <c r="G7" s="193">
        <v>37004</v>
      </c>
      <c r="H7" s="394"/>
    </row>
    <row r="8" spans="3:12" s="176" customFormat="1" ht="14.45" customHeight="1" x14ac:dyDescent="0.25">
      <c r="C8" s="393"/>
      <c r="D8" s="392"/>
      <c r="E8" s="192" t="s">
        <v>197</v>
      </c>
      <c r="F8" s="193">
        <v>37700</v>
      </c>
      <c r="G8" s="193">
        <v>37712</v>
      </c>
      <c r="H8" s="394"/>
    </row>
    <row r="9" spans="3:12" s="176" customFormat="1" ht="14.45" customHeight="1" x14ac:dyDescent="0.25">
      <c r="C9" s="393"/>
      <c r="D9" s="392"/>
      <c r="E9" s="192" t="s">
        <v>198</v>
      </c>
      <c r="F9" s="193">
        <v>38645</v>
      </c>
      <c r="G9" s="193">
        <v>38684</v>
      </c>
      <c r="H9" s="394"/>
    </row>
    <row r="10" spans="3:12" s="176" customFormat="1" ht="14.45" customHeight="1" x14ac:dyDescent="0.25">
      <c r="C10" s="393"/>
      <c r="D10" s="392"/>
      <c r="E10" s="192" t="s">
        <v>199</v>
      </c>
      <c r="F10" s="193">
        <v>39403</v>
      </c>
      <c r="G10" s="193">
        <v>39414</v>
      </c>
      <c r="H10" s="394"/>
      <c r="K10" s="176" t="s">
        <v>492</v>
      </c>
      <c r="L10" s="176">
        <v>11</v>
      </c>
    </row>
    <row r="11" spans="3:12" s="176" customFormat="1" ht="14.45" customHeight="1" x14ac:dyDescent="0.25">
      <c r="C11" s="393"/>
      <c r="D11" s="392"/>
      <c r="E11" s="192" t="s">
        <v>475</v>
      </c>
      <c r="F11" s="193">
        <v>40379</v>
      </c>
      <c r="G11" s="193">
        <v>40422</v>
      </c>
      <c r="H11" s="394"/>
      <c r="K11" s="176" t="s">
        <v>493</v>
      </c>
      <c r="L11" s="176">
        <v>3</v>
      </c>
    </row>
    <row r="12" spans="3:12" s="176" customFormat="1" ht="14.45" customHeight="1" x14ac:dyDescent="0.25">
      <c r="C12" s="393"/>
      <c r="D12" s="392"/>
      <c r="E12" s="192" t="s">
        <v>476</v>
      </c>
      <c r="F12" s="193">
        <v>41588</v>
      </c>
      <c r="G12" s="193">
        <v>41588</v>
      </c>
      <c r="H12" s="394"/>
      <c r="K12" s="176" t="s">
        <v>494</v>
      </c>
      <c r="L12" s="176">
        <v>12</v>
      </c>
    </row>
    <row r="13" spans="3:12" ht="14.45" customHeight="1" x14ac:dyDescent="0.25">
      <c r="C13" s="380">
        <v>64</v>
      </c>
      <c r="D13" s="381" t="s">
        <v>200</v>
      </c>
      <c r="E13" s="183" t="s">
        <v>201</v>
      </c>
      <c r="F13" s="184">
        <v>35008</v>
      </c>
      <c r="G13" s="184">
        <v>35040</v>
      </c>
      <c r="H13" s="382" t="s">
        <v>82</v>
      </c>
    </row>
    <row r="14" spans="3:12" ht="14.45" customHeight="1" x14ac:dyDescent="0.25">
      <c r="C14" s="380"/>
      <c r="D14" s="381"/>
      <c r="E14" s="183" t="s">
        <v>202</v>
      </c>
      <c r="F14" s="184">
        <v>36422</v>
      </c>
      <c r="G14" s="184">
        <v>36459</v>
      </c>
      <c r="H14" s="382"/>
    </row>
    <row r="15" spans="3:12" ht="14.45" customHeight="1" x14ac:dyDescent="0.25">
      <c r="C15" s="380"/>
      <c r="D15" s="381"/>
      <c r="E15" s="183" t="s">
        <v>203</v>
      </c>
      <c r="F15" s="184">
        <v>36926</v>
      </c>
      <c r="G15" s="184">
        <v>37021</v>
      </c>
      <c r="H15" s="382"/>
    </row>
    <row r="16" spans="3:12" ht="14.45" customHeight="1" x14ac:dyDescent="0.25">
      <c r="C16" s="380"/>
      <c r="D16" s="381"/>
      <c r="E16" s="183" t="s">
        <v>204</v>
      </c>
      <c r="F16" s="184">
        <v>38061</v>
      </c>
      <c r="G16" s="184">
        <v>38063</v>
      </c>
      <c r="H16" s="382"/>
    </row>
    <row r="17" spans="3:8" ht="14.45" customHeight="1" x14ac:dyDescent="0.25">
      <c r="C17" s="380"/>
      <c r="D17" s="381"/>
      <c r="E17" s="183" t="s">
        <v>205</v>
      </c>
      <c r="F17" s="184">
        <v>38190</v>
      </c>
      <c r="G17" s="184">
        <v>38208</v>
      </c>
      <c r="H17" s="382"/>
    </row>
    <row r="18" spans="3:8" ht="14.45" customHeight="1" x14ac:dyDescent="0.25">
      <c r="C18" s="380"/>
      <c r="D18" s="381"/>
      <c r="E18" s="183" t="s">
        <v>206</v>
      </c>
      <c r="F18" s="184">
        <v>39407</v>
      </c>
      <c r="G18" s="184">
        <v>39421</v>
      </c>
      <c r="H18" s="382"/>
    </row>
    <row r="19" spans="3:8" ht="14.45" customHeight="1" x14ac:dyDescent="0.25">
      <c r="C19" s="380"/>
      <c r="D19" s="381"/>
      <c r="E19" s="183" t="s">
        <v>207</v>
      </c>
      <c r="F19" s="184">
        <v>40220</v>
      </c>
      <c r="G19" s="184">
        <v>40273</v>
      </c>
      <c r="H19" s="382"/>
    </row>
    <row r="20" spans="3:8" ht="14.45" customHeight="1" x14ac:dyDescent="0.25">
      <c r="C20" s="380"/>
      <c r="D20" s="381"/>
      <c r="E20" s="183" t="s">
        <v>208</v>
      </c>
      <c r="F20" s="184">
        <v>40297</v>
      </c>
      <c r="G20" s="184">
        <v>40309</v>
      </c>
      <c r="H20" s="382"/>
    </row>
    <row r="21" spans="3:8" ht="14.45" customHeight="1" x14ac:dyDescent="0.25">
      <c r="C21" s="380"/>
      <c r="D21" s="381"/>
      <c r="E21" s="183" t="s">
        <v>209</v>
      </c>
      <c r="F21" s="184">
        <v>41390</v>
      </c>
      <c r="G21" s="184">
        <v>41393</v>
      </c>
      <c r="H21" s="382"/>
    </row>
    <row r="22" spans="3:8" ht="14.45" customHeight="1" x14ac:dyDescent="0.25">
      <c r="C22" s="380"/>
      <c r="D22" s="381"/>
      <c r="E22" s="183" t="s">
        <v>478</v>
      </c>
      <c r="F22" s="184">
        <v>42705</v>
      </c>
      <c r="G22" s="184">
        <v>42706</v>
      </c>
      <c r="H22" s="382"/>
    </row>
    <row r="23" spans="3:8" ht="14.45" customHeight="1" x14ac:dyDescent="0.25">
      <c r="C23" s="400" t="s">
        <v>211</v>
      </c>
      <c r="D23" s="401" t="s">
        <v>212</v>
      </c>
      <c r="E23" s="185" t="s">
        <v>210</v>
      </c>
      <c r="F23" s="186">
        <v>34423</v>
      </c>
      <c r="G23" s="186">
        <v>34423</v>
      </c>
      <c r="H23" s="402" t="s">
        <v>82</v>
      </c>
    </row>
    <row r="24" spans="3:8" ht="14.45" customHeight="1" x14ac:dyDescent="0.25">
      <c r="C24" s="400"/>
      <c r="D24" s="401"/>
      <c r="E24" s="185" t="s">
        <v>213</v>
      </c>
      <c r="F24" s="186">
        <v>35263</v>
      </c>
      <c r="G24" s="186">
        <v>35271</v>
      </c>
      <c r="H24" s="402"/>
    </row>
    <row r="25" spans="3:8" ht="14.45" customHeight="1" x14ac:dyDescent="0.25">
      <c r="C25" s="400"/>
      <c r="D25" s="401"/>
      <c r="E25" s="185" t="s">
        <v>214</v>
      </c>
      <c r="F25" s="186">
        <v>36327</v>
      </c>
      <c r="G25" s="186">
        <v>36413</v>
      </c>
      <c r="H25" s="402"/>
    </row>
    <row r="26" spans="3:8" ht="14.45" customHeight="1" x14ac:dyDescent="0.25">
      <c r="C26" s="400"/>
      <c r="D26" s="401"/>
      <c r="E26" s="185" t="s">
        <v>215</v>
      </c>
      <c r="F26" s="186">
        <v>37085</v>
      </c>
      <c r="G26" s="186">
        <v>37092</v>
      </c>
      <c r="H26" s="402"/>
    </row>
    <row r="27" spans="3:8" s="127" customFormat="1" ht="23.25" customHeight="1" x14ac:dyDescent="0.25">
      <c r="C27" s="384">
        <v>56</v>
      </c>
      <c r="D27" s="399" t="s">
        <v>480</v>
      </c>
      <c r="E27" s="187" t="s">
        <v>216</v>
      </c>
      <c r="F27" s="188">
        <v>38226</v>
      </c>
      <c r="G27" s="188">
        <v>38237</v>
      </c>
      <c r="H27" s="388" t="s">
        <v>82</v>
      </c>
    </row>
    <row r="28" spans="3:8" s="127" customFormat="1" ht="23.25" customHeight="1" x14ac:dyDescent="0.25">
      <c r="C28" s="384"/>
      <c r="D28" s="399"/>
      <c r="E28" s="187" t="s">
        <v>479</v>
      </c>
      <c r="F28" s="188">
        <v>38699</v>
      </c>
      <c r="G28" s="188">
        <v>38702</v>
      </c>
      <c r="H28" s="388"/>
    </row>
    <row r="29" spans="3:8" s="127" customFormat="1" ht="23.25" customHeight="1" x14ac:dyDescent="0.25">
      <c r="C29" s="384"/>
      <c r="D29" s="399"/>
      <c r="E29" s="187" t="s">
        <v>217</v>
      </c>
      <c r="F29" s="188">
        <v>38926</v>
      </c>
      <c r="G29" s="188">
        <v>38957</v>
      </c>
      <c r="H29" s="388"/>
    </row>
    <row r="30" spans="3:8" s="127" customFormat="1" ht="23.25" customHeight="1" x14ac:dyDescent="0.25">
      <c r="C30" s="384"/>
      <c r="D30" s="399"/>
      <c r="E30" s="187" t="s">
        <v>218</v>
      </c>
      <c r="F30" s="188">
        <v>40067</v>
      </c>
      <c r="G30" s="188">
        <v>40198</v>
      </c>
      <c r="H30" s="388"/>
    </row>
    <row r="31" spans="3:8" s="127" customFormat="1" ht="14.45" customHeight="1" x14ac:dyDescent="0.25">
      <c r="C31" s="400">
        <v>58</v>
      </c>
      <c r="D31" s="401" t="s">
        <v>219</v>
      </c>
      <c r="E31" s="185" t="s">
        <v>220</v>
      </c>
      <c r="F31" s="186">
        <v>38526</v>
      </c>
      <c r="G31" s="186">
        <v>38545</v>
      </c>
      <c r="H31" s="402" t="s">
        <v>82</v>
      </c>
    </row>
    <row r="32" spans="3:8" s="127" customFormat="1" ht="14.45" customHeight="1" x14ac:dyDescent="0.25">
      <c r="C32" s="400"/>
      <c r="D32" s="401"/>
      <c r="E32" s="185" t="s">
        <v>221</v>
      </c>
      <c r="F32" s="186">
        <v>41351</v>
      </c>
      <c r="G32" s="186">
        <v>41365</v>
      </c>
      <c r="H32" s="402"/>
    </row>
    <row r="33" spans="3:8" s="127" customFormat="1" ht="14.45" customHeight="1" x14ac:dyDescent="0.25">
      <c r="C33" s="400"/>
      <c r="D33" s="401"/>
      <c r="E33" s="185" t="s">
        <v>222</v>
      </c>
      <c r="F33" s="186">
        <v>41790</v>
      </c>
      <c r="G33" s="186">
        <v>41949</v>
      </c>
      <c r="H33" s="402"/>
    </row>
    <row r="34" spans="3:8" s="127" customFormat="1" ht="11.25" x14ac:dyDescent="0.25">
      <c r="C34" s="384">
        <v>88</v>
      </c>
      <c r="D34" s="399" t="s">
        <v>484</v>
      </c>
      <c r="E34" s="187" t="s">
        <v>223</v>
      </c>
      <c r="F34" s="188">
        <v>36867</v>
      </c>
      <c r="G34" s="188">
        <v>36869</v>
      </c>
      <c r="H34" s="388" t="s">
        <v>82</v>
      </c>
    </row>
    <row r="35" spans="3:8" s="127" customFormat="1" ht="14.45" customHeight="1" x14ac:dyDescent="0.25">
      <c r="C35" s="384"/>
      <c r="D35" s="399"/>
      <c r="E35" s="187" t="s">
        <v>224</v>
      </c>
      <c r="F35" s="188">
        <v>37923</v>
      </c>
      <c r="G35" s="188">
        <v>37925</v>
      </c>
      <c r="H35" s="388"/>
    </row>
    <row r="36" spans="3:8" s="127" customFormat="1" ht="11.25" x14ac:dyDescent="0.25">
      <c r="C36" s="384"/>
      <c r="D36" s="399"/>
      <c r="E36" s="187" t="s">
        <v>225</v>
      </c>
      <c r="F36" s="188">
        <v>38163</v>
      </c>
      <c r="G36" s="188">
        <v>38218</v>
      </c>
      <c r="H36" s="388"/>
    </row>
    <row r="37" spans="3:8" s="127" customFormat="1" ht="11.25" x14ac:dyDescent="0.25">
      <c r="C37" s="384"/>
      <c r="D37" s="399"/>
      <c r="E37" s="187" t="s">
        <v>481</v>
      </c>
      <c r="F37" s="188">
        <v>38699</v>
      </c>
      <c r="G37" s="188">
        <v>38702</v>
      </c>
      <c r="H37" s="388"/>
    </row>
    <row r="38" spans="3:8" s="127" customFormat="1" ht="14.45" customHeight="1" x14ac:dyDescent="0.25">
      <c r="C38" s="384"/>
      <c r="D38" s="399"/>
      <c r="E38" s="187" t="s">
        <v>226</v>
      </c>
      <c r="F38" s="188">
        <v>38730</v>
      </c>
      <c r="G38" s="188">
        <v>38736</v>
      </c>
      <c r="H38" s="388"/>
    </row>
    <row r="39" spans="3:8" s="127" customFormat="1" ht="14.45" customHeight="1" x14ac:dyDescent="0.25">
      <c r="C39" s="384"/>
      <c r="D39" s="399"/>
      <c r="E39" s="187" t="s">
        <v>227</v>
      </c>
      <c r="F39" s="188">
        <v>38926</v>
      </c>
      <c r="G39" s="188">
        <v>39042</v>
      </c>
      <c r="H39" s="388"/>
    </row>
    <row r="40" spans="3:8" s="127" customFormat="1" ht="14.45" customHeight="1" x14ac:dyDescent="0.25">
      <c r="C40" s="384"/>
      <c r="D40" s="399"/>
      <c r="E40" s="187" t="s">
        <v>228</v>
      </c>
      <c r="F40" s="188">
        <v>39024</v>
      </c>
      <c r="G40" s="188">
        <v>39070</v>
      </c>
      <c r="H40" s="388"/>
    </row>
    <row r="41" spans="3:8" s="127" customFormat="1" ht="14.45" customHeight="1" x14ac:dyDescent="0.25">
      <c r="C41" s="384"/>
      <c r="D41" s="399"/>
      <c r="E41" s="187" t="s">
        <v>229</v>
      </c>
      <c r="F41" s="188">
        <v>40064</v>
      </c>
      <c r="G41" s="188">
        <v>40157</v>
      </c>
      <c r="H41" s="388"/>
    </row>
    <row r="42" spans="3:8" s="127" customFormat="1" ht="14.45" customHeight="1" x14ac:dyDescent="0.25">
      <c r="C42" s="384"/>
      <c r="D42" s="399"/>
      <c r="E42" s="187" t="s">
        <v>482</v>
      </c>
      <c r="F42" s="188">
        <v>41847</v>
      </c>
      <c r="G42" s="188">
        <v>41857</v>
      </c>
      <c r="H42" s="388"/>
    </row>
    <row r="43" spans="3:8" ht="11.25" customHeight="1" x14ac:dyDescent="0.25">
      <c r="C43" s="370">
        <v>57</v>
      </c>
      <c r="D43" s="371" t="s">
        <v>483</v>
      </c>
      <c r="E43" s="189" t="s">
        <v>231</v>
      </c>
      <c r="F43" s="190">
        <v>37974</v>
      </c>
      <c r="G43" s="190">
        <v>38013</v>
      </c>
      <c r="H43" s="372" t="s">
        <v>82</v>
      </c>
    </row>
    <row r="44" spans="3:8" ht="14.45" customHeight="1" x14ac:dyDescent="0.25">
      <c r="C44" s="370"/>
      <c r="D44" s="371"/>
      <c r="E44" s="189" t="s">
        <v>232</v>
      </c>
      <c r="F44" s="190">
        <v>38948</v>
      </c>
      <c r="G44" s="190">
        <v>39118</v>
      </c>
      <c r="H44" s="372"/>
    </row>
    <row r="45" spans="3:8" ht="14.45" customHeight="1" x14ac:dyDescent="0.25">
      <c r="C45" s="370"/>
      <c r="D45" s="371"/>
      <c r="E45" s="189" t="s">
        <v>233</v>
      </c>
      <c r="F45" s="190">
        <v>39458</v>
      </c>
      <c r="G45" s="190">
        <v>39469</v>
      </c>
      <c r="H45" s="372"/>
    </row>
    <row r="46" spans="3:8" ht="14.45" customHeight="1" x14ac:dyDescent="0.25">
      <c r="C46" s="370"/>
      <c r="D46" s="371"/>
      <c r="E46" s="189" t="s">
        <v>485</v>
      </c>
      <c r="F46" s="190">
        <v>41949</v>
      </c>
      <c r="G46" s="190">
        <v>41949</v>
      </c>
      <c r="H46" s="372"/>
    </row>
    <row r="47" spans="3:8" ht="11.25" x14ac:dyDescent="0.25">
      <c r="C47" s="380">
        <v>131</v>
      </c>
      <c r="D47" s="381" t="s">
        <v>486</v>
      </c>
      <c r="E47" s="183" t="s">
        <v>234</v>
      </c>
      <c r="F47" s="184">
        <v>39407</v>
      </c>
      <c r="G47" s="184">
        <v>39407</v>
      </c>
      <c r="H47" s="382" t="s">
        <v>82</v>
      </c>
    </row>
    <row r="48" spans="3:8" ht="11.25" x14ac:dyDescent="0.25">
      <c r="C48" s="380"/>
      <c r="D48" s="381"/>
      <c r="E48" s="183" t="s">
        <v>235</v>
      </c>
      <c r="F48" s="184">
        <v>39674</v>
      </c>
      <c r="G48" s="184">
        <v>39703</v>
      </c>
      <c r="H48" s="382"/>
    </row>
    <row r="49" spans="3:8" ht="11.25" x14ac:dyDescent="0.25">
      <c r="C49" s="380"/>
      <c r="D49" s="381"/>
      <c r="E49" s="183" t="s">
        <v>487</v>
      </c>
      <c r="F49" s="184">
        <v>42850</v>
      </c>
      <c r="G49" s="184">
        <v>42867</v>
      </c>
      <c r="H49" s="382"/>
    </row>
    <row r="50" spans="3:8" ht="14.45" customHeight="1" x14ac:dyDescent="0.25">
      <c r="C50" s="370">
        <v>95</v>
      </c>
      <c r="D50" s="371" t="s">
        <v>419</v>
      </c>
      <c r="E50" s="189" t="s">
        <v>236</v>
      </c>
      <c r="F50" s="190">
        <v>38429</v>
      </c>
      <c r="G50" s="190">
        <v>38449</v>
      </c>
      <c r="H50" s="372" t="s">
        <v>82</v>
      </c>
    </row>
    <row r="51" spans="3:8" ht="14.45" customHeight="1" x14ac:dyDescent="0.25">
      <c r="C51" s="370"/>
      <c r="D51" s="371"/>
      <c r="E51" s="189" t="s">
        <v>488</v>
      </c>
      <c r="F51" s="190">
        <v>40905</v>
      </c>
      <c r="G51" s="190">
        <v>40924</v>
      </c>
      <c r="H51" s="372"/>
    </row>
    <row r="52" spans="3:8" ht="14.45" customHeight="1" x14ac:dyDescent="0.25">
      <c r="C52" s="370"/>
      <c r="D52" s="371"/>
      <c r="E52" s="189" t="s">
        <v>489</v>
      </c>
      <c r="F52" s="190">
        <v>41296</v>
      </c>
      <c r="G52" s="190">
        <v>41316</v>
      </c>
      <c r="H52" s="372"/>
    </row>
    <row r="53" spans="3:8" ht="14.45" customHeight="1" x14ac:dyDescent="0.25">
      <c r="C53" s="370"/>
      <c r="D53" s="371"/>
      <c r="E53" s="189" t="s">
        <v>490</v>
      </c>
      <c r="F53" s="190">
        <v>43098</v>
      </c>
      <c r="G53" s="190">
        <v>43132</v>
      </c>
      <c r="H53" s="372"/>
    </row>
    <row r="54" spans="3:8" ht="14.45" customHeight="1" x14ac:dyDescent="0.25">
      <c r="C54" s="395" t="s">
        <v>237</v>
      </c>
      <c r="D54" s="396"/>
      <c r="E54" s="397">
        <v>26</v>
      </c>
      <c r="F54" s="397"/>
      <c r="G54" s="397"/>
      <c r="H54" s="398"/>
    </row>
  </sheetData>
  <mergeCells count="35">
    <mergeCell ref="C23:C26"/>
    <mergeCell ref="D23:D26"/>
    <mergeCell ref="H23:H26"/>
    <mergeCell ref="C27:C30"/>
    <mergeCell ref="H27:H30"/>
    <mergeCell ref="D27:D30"/>
    <mergeCell ref="D34:D42"/>
    <mergeCell ref="C34:C42"/>
    <mergeCell ref="H34:H42"/>
    <mergeCell ref="C31:C33"/>
    <mergeCell ref="D31:D33"/>
    <mergeCell ref="H31:H33"/>
    <mergeCell ref="C43:C46"/>
    <mergeCell ref="D43:D46"/>
    <mergeCell ref="H43:H46"/>
    <mergeCell ref="C54:D54"/>
    <mergeCell ref="E54:H54"/>
    <mergeCell ref="C47:C49"/>
    <mergeCell ref="D47:D49"/>
    <mergeCell ref="H47:H49"/>
    <mergeCell ref="H50:H53"/>
    <mergeCell ref="C50:C53"/>
    <mergeCell ref="D50:D53"/>
    <mergeCell ref="C1:H1"/>
    <mergeCell ref="C2:C3"/>
    <mergeCell ref="D2:D3"/>
    <mergeCell ref="F2:F3"/>
    <mergeCell ref="G2:G3"/>
    <mergeCell ref="H2:H3"/>
    <mergeCell ref="D4:D12"/>
    <mergeCell ref="C4:C12"/>
    <mergeCell ref="H4:H12"/>
    <mergeCell ref="D13:D22"/>
    <mergeCell ref="C13:C22"/>
    <mergeCell ref="H13:H22"/>
  </mergeCells>
  <pageMargins left="0.7" right="0.7" top="0.75" bottom="0.75" header="0.3" footer="0.3"/>
  <pageSetup scale="67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0"/>
  <sheetViews>
    <sheetView topLeftCell="S25" workbookViewId="0">
      <selection activeCell="AA45" sqref="AA45"/>
    </sheetView>
  </sheetViews>
  <sheetFormatPr baseColWidth="10" defaultColWidth="9.5703125" defaultRowHeight="11.25" x14ac:dyDescent="0.2"/>
  <cols>
    <col min="1" max="1" width="13.7109375" style="4" customWidth="1"/>
    <col min="2" max="10" width="9.5703125" style="4"/>
    <col min="11" max="11" width="10.140625" style="4" customWidth="1"/>
    <col min="12" max="16384" width="9.5703125" style="4"/>
  </cols>
  <sheetData>
    <row r="1" spans="1:17" ht="14.45" customHeight="1" x14ac:dyDescent="0.2">
      <c r="A1" s="403" t="s">
        <v>238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7" ht="14.45" customHeight="1" x14ac:dyDescent="0.2">
      <c r="A2" s="403">
        <v>2019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1:17" ht="14.45" customHeight="1" x14ac:dyDescent="0.2">
      <c r="A3" s="16" t="s">
        <v>1</v>
      </c>
      <c r="B3" s="16" t="s">
        <v>2</v>
      </c>
      <c r="C3" s="16" t="s">
        <v>239</v>
      </c>
      <c r="D3" s="16" t="s">
        <v>240</v>
      </c>
      <c r="E3" s="16" t="s">
        <v>241</v>
      </c>
      <c r="F3" s="16" t="s">
        <v>242</v>
      </c>
      <c r="G3" s="16" t="s">
        <v>243</v>
      </c>
      <c r="H3" s="16" t="s">
        <v>244</v>
      </c>
      <c r="I3" s="16" t="s">
        <v>245</v>
      </c>
      <c r="J3" s="16" t="s">
        <v>246</v>
      </c>
      <c r="K3" s="16" t="s">
        <v>247</v>
      </c>
      <c r="L3" s="16" t="s">
        <v>248</v>
      </c>
      <c r="M3" s="16" t="s">
        <v>249</v>
      </c>
      <c r="N3" s="16" t="s">
        <v>250</v>
      </c>
      <c r="O3" s="16" t="s">
        <v>116</v>
      </c>
    </row>
    <row r="4" spans="1:17" ht="14.45" customHeight="1" x14ac:dyDescent="0.2">
      <c r="A4" s="404" t="s">
        <v>251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7" ht="14.45" customHeight="1" x14ac:dyDescent="0.2">
      <c r="A5" s="18" t="s">
        <v>45</v>
      </c>
      <c r="B5" s="27" t="s">
        <v>118</v>
      </c>
      <c r="C5" s="102">
        <v>19793</v>
      </c>
      <c r="D5" s="48">
        <v>17929</v>
      </c>
      <c r="E5" s="48">
        <v>18473</v>
      </c>
      <c r="F5" s="48">
        <v>20846</v>
      </c>
      <c r="G5" s="48">
        <v>20611</v>
      </c>
      <c r="H5" s="48">
        <v>18067</v>
      </c>
      <c r="I5" s="48">
        <v>20146</v>
      </c>
      <c r="J5" s="48">
        <v>21451</v>
      </c>
      <c r="K5" s="48">
        <v>19092</v>
      </c>
      <c r="L5" s="48">
        <v>20126</v>
      </c>
      <c r="M5" s="48">
        <v>19315</v>
      </c>
      <c r="N5" s="48">
        <v>20392</v>
      </c>
      <c r="O5" s="49">
        <f>SUM(C5:N5)</f>
        <v>236241</v>
      </c>
      <c r="Q5" s="206" t="s">
        <v>491</v>
      </c>
    </row>
    <row r="6" spans="1:17" ht="14.45" customHeight="1" x14ac:dyDescent="0.2">
      <c r="A6" s="18" t="s">
        <v>252</v>
      </c>
      <c r="B6" s="27" t="s">
        <v>138</v>
      </c>
      <c r="C6" s="102">
        <v>9582</v>
      </c>
      <c r="D6" s="48">
        <v>7924</v>
      </c>
      <c r="E6" s="48">
        <v>9026</v>
      </c>
      <c r="F6" s="48">
        <v>9287</v>
      </c>
      <c r="G6" s="48">
        <v>9165</v>
      </c>
      <c r="H6" s="48">
        <v>8967</v>
      </c>
      <c r="I6" s="48">
        <v>9932</v>
      </c>
      <c r="J6" s="48">
        <v>9675</v>
      </c>
      <c r="K6" s="48">
        <v>10580</v>
      </c>
      <c r="L6" s="48">
        <v>12641</v>
      </c>
      <c r="M6" s="48">
        <v>11803</v>
      </c>
      <c r="N6" s="48">
        <v>11421</v>
      </c>
      <c r="O6" s="49">
        <f t="shared" ref="O6:O15" si="0">SUM(C6:N6)</f>
        <v>120003</v>
      </c>
    </row>
    <row r="7" spans="1:17" ht="14.45" customHeight="1" x14ac:dyDescent="0.2">
      <c r="A7" s="18" t="s">
        <v>45</v>
      </c>
      <c r="B7" s="27" t="s">
        <v>47</v>
      </c>
      <c r="C7" s="102">
        <v>21089</v>
      </c>
      <c r="D7" s="48">
        <v>17841</v>
      </c>
      <c r="E7" s="48">
        <v>19863</v>
      </c>
      <c r="F7" s="48">
        <v>20457</v>
      </c>
      <c r="G7" s="48">
        <v>21502</v>
      </c>
      <c r="H7" s="48">
        <v>20819</v>
      </c>
      <c r="I7" s="48">
        <v>21589</v>
      </c>
      <c r="J7" s="48">
        <v>22967</v>
      </c>
      <c r="K7" s="48">
        <v>23607</v>
      </c>
      <c r="L7" s="48">
        <v>24880</v>
      </c>
      <c r="M7" s="48">
        <v>23950</v>
      </c>
      <c r="N7" s="48">
        <v>25296</v>
      </c>
      <c r="O7" s="49">
        <f>SUM(C7:N7)</f>
        <v>263860</v>
      </c>
    </row>
    <row r="8" spans="1:17" ht="14.45" customHeight="1" x14ac:dyDescent="0.2">
      <c r="A8" s="18" t="s">
        <v>45</v>
      </c>
      <c r="B8" s="27" t="s">
        <v>46</v>
      </c>
      <c r="C8" s="102">
        <v>56780</v>
      </c>
      <c r="D8" s="48">
        <v>54704</v>
      </c>
      <c r="E8" s="48">
        <v>73838</v>
      </c>
      <c r="F8" s="48">
        <v>77229</v>
      </c>
      <c r="G8" s="48">
        <v>83227</v>
      </c>
      <c r="H8" s="48">
        <v>96587</v>
      </c>
      <c r="I8" s="48">
        <v>103886</v>
      </c>
      <c r="J8" s="48">
        <v>94649</v>
      </c>
      <c r="K8" s="48">
        <v>79209</v>
      </c>
      <c r="L8" s="48">
        <v>82157</v>
      </c>
      <c r="M8" s="48">
        <v>72335</v>
      </c>
      <c r="N8" s="48">
        <v>71883</v>
      </c>
      <c r="O8" s="49">
        <f t="shared" si="0"/>
        <v>946484</v>
      </c>
    </row>
    <row r="9" spans="1:17" ht="14.45" customHeight="1" x14ac:dyDescent="0.2">
      <c r="A9" s="18" t="s">
        <v>45</v>
      </c>
      <c r="B9" s="27" t="s">
        <v>119</v>
      </c>
      <c r="C9" s="102">
        <v>3048</v>
      </c>
      <c r="D9" s="48">
        <v>3058</v>
      </c>
      <c r="E9" s="48">
        <v>3273</v>
      </c>
      <c r="F9" s="48">
        <v>3190</v>
      </c>
      <c r="G9" s="48">
        <v>3274</v>
      </c>
      <c r="H9" s="48">
        <v>2645</v>
      </c>
      <c r="I9" s="48">
        <v>3708</v>
      </c>
      <c r="J9" s="48">
        <v>3182</v>
      </c>
      <c r="K9" s="48">
        <v>3205</v>
      </c>
      <c r="L9" s="48">
        <v>3090</v>
      </c>
      <c r="M9" s="48">
        <v>3258</v>
      </c>
      <c r="N9" s="48">
        <v>3416</v>
      </c>
      <c r="O9" s="49">
        <f t="shared" si="0"/>
        <v>38347</v>
      </c>
    </row>
    <row r="10" spans="1:17" ht="14.45" customHeight="1" x14ac:dyDescent="0.2">
      <c r="A10" s="18" t="s">
        <v>120</v>
      </c>
      <c r="B10" s="27" t="s">
        <v>253</v>
      </c>
      <c r="C10" s="48">
        <v>129786</v>
      </c>
      <c r="D10" s="48">
        <v>116390</v>
      </c>
      <c r="E10" s="48">
        <v>126172</v>
      </c>
      <c r="F10" s="48">
        <v>117109</v>
      </c>
      <c r="G10" s="48">
        <v>120055</v>
      </c>
      <c r="H10" s="48">
        <v>115253</v>
      </c>
      <c r="I10" s="48">
        <v>115250</v>
      </c>
      <c r="J10" s="48">
        <v>116677</v>
      </c>
      <c r="K10" s="48">
        <v>112577</v>
      </c>
      <c r="L10" s="48">
        <v>120051</v>
      </c>
      <c r="M10" s="48">
        <v>115749</v>
      </c>
      <c r="N10" s="48">
        <v>117397</v>
      </c>
      <c r="O10" s="49">
        <f t="shared" si="0"/>
        <v>1422466</v>
      </c>
    </row>
    <row r="11" spans="1:17" ht="14.45" customHeight="1" x14ac:dyDescent="0.2">
      <c r="A11" s="18" t="s">
        <v>254</v>
      </c>
      <c r="B11" s="27" t="s">
        <v>58</v>
      </c>
      <c r="C11" s="102">
        <v>5406</v>
      </c>
      <c r="D11" s="48">
        <v>4799</v>
      </c>
      <c r="E11" s="48">
        <v>5372</v>
      </c>
      <c r="F11" s="48">
        <v>5120</v>
      </c>
      <c r="G11" s="48">
        <v>5124</v>
      </c>
      <c r="H11" s="48">
        <v>5115</v>
      </c>
      <c r="I11" s="48">
        <v>5306</v>
      </c>
      <c r="J11" s="48">
        <v>5002</v>
      </c>
      <c r="K11" s="48">
        <v>5003</v>
      </c>
      <c r="L11" s="48">
        <v>5293</v>
      </c>
      <c r="M11" s="48">
        <v>5039</v>
      </c>
      <c r="N11" s="48">
        <v>5201</v>
      </c>
      <c r="O11" s="49">
        <f t="shared" si="0"/>
        <v>61780</v>
      </c>
    </row>
    <row r="12" spans="1:17" ht="14.45" customHeight="1" x14ac:dyDescent="0.2">
      <c r="A12" s="18" t="s">
        <v>25</v>
      </c>
      <c r="B12" s="27" t="s">
        <v>48</v>
      </c>
      <c r="C12" s="102">
        <v>422728</v>
      </c>
      <c r="D12" s="48">
        <v>382552</v>
      </c>
      <c r="E12" s="48">
        <v>430455</v>
      </c>
      <c r="F12" s="48">
        <v>425249</v>
      </c>
      <c r="G12" s="48">
        <v>445432</v>
      </c>
      <c r="H12" s="48">
        <v>431737</v>
      </c>
      <c r="I12" s="48">
        <v>446939</v>
      </c>
      <c r="J12" s="48">
        <v>411601</v>
      </c>
      <c r="K12" s="48">
        <v>456346</v>
      </c>
      <c r="L12" s="48">
        <v>471561</v>
      </c>
      <c r="M12" s="48">
        <v>455211</v>
      </c>
      <c r="N12" s="48">
        <v>447820</v>
      </c>
      <c r="O12" s="49">
        <f t="shared" si="0"/>
        <v>5227631</v>
      </c>
    </row>
    <row r="13" spans="1:17" ht="14.45" customHeight="1" x14ac:dyDescent="0.2">
      <c r="A13" s="18" t="s">
        <v>7</v>
      </c>
      <c r="B13" s="27" t="s">
        <v>8</v>
      </c>
      <c r="C13" s="102">
        <v>61436</v>
      </c>
      <c r="D13" s="48">
        <v>54992</v>
      </c>
      <c r="E13" s="48">
        <v>57633</v>
      </c>
      <c r="F13" s="48">
        <v>63200</v>
      </c>
      <c r="G13" s="48">
        <v>59558</v>
      </c>
      <c r="H13" s="48">
        <v>58658</v>
      </c>
      <c r="I13" s="48">
        <v>66570</v>
      </c>
      <c r="J13" s="48">
        <v>66497</v>
      </c>
      <c r="K13" s="48">
        <v>63313</v>
      </c>
      <c r="L13" s="48">
        <v>56207</v>
      </c>
      <c r="M13" s="48">
        <v>55392</v>
      </c>
      <c r="N13" s="48">
        <v>54283</v>
      </c>
      <c r="O13" s="49">
        <f t="shared" si="0"/>
        <v>717739</v>
      </c>
    </row>
    <row r="14" spans="1:17" ht="14.45" customHeight="1" x14ac:dyDescent="0.2">
      <c r="A14" s="18" t="s">
        <v>252</v>
      </c>
      <c r="B14" s="27" t="s">
        <v>123</v>
      </c>
      <c r="C14" s="102">
        <v>1079</v>
      </c>
      <c r="D14" s="48">
        <v>933</v>
      </c>
      <c r="E14" s="48">
        <v>991</v>
      </c>
      <c r="F14" s="48">
        <v>1015</v>
      </c>
      <c r="G14" s="48">
        <v>1026</v>
      </c>
      <c r="H14" s="48">
        <v>992</v>
      </c>
      <c r="I14" s="48">
        <v>1004</v>
      </c>
      <c r="J14" s="48">
        <v>1036</v>
      </c>
      <c r="K14" s="2">
        <v>1002</v>
      </c>
      <c r="L14" s="2">
        <v>1332</v>
      </c>
      <c r="M14" s="48">
        <v>1663</v>
      </c>
      <c r="N14" s="48">
        <v>1315</v>
      </c>
      <c r="O14" s="49">
        <f t="shared" si="0"/>
        <v>13388</v>
      </c>
    </row>
    <row r="15" spans="1:17" ht="14.45" customHeight="1" x14ac:dyDescent="0.2">
      <c r="A15" s="18" t="s">
        <v>252</v>
      </c>
      <c r="B15" s="27" t="s">
        <v>175</v>
      </c>
      <c r="C15" s="4">
        <v>499</v>
      </c>
      <c r="D15" s="2">
        <v>537</v>
      </c>
      <c r="E15" s="2">
        <v>579</v>
      </c>
      <c r="F15" s="2">
        <v>494</v>
      </c>
      <c r="G15" s="2">
        <v>474</v>
      </c>
      <c r="H15" s="2">
        <v>440</v>
      </c>
      <c r="I15" s="2">
        <v>471</v>
      </c>
      <c r="J15" s="2">
        <v>420</v>
      </c>
      <c r="K15" s="2">
        <v>448</v>
      </c>
      <c r="L15" s="2">
        <v>474</v>
      </c>
      <c r="M15" s="2">
        <v>446</v>
      </c>
      <c r="N15" s="2">
        <v>465</v>
      </c>
      <c r="O15" s="49">
        <f t="shared" si="0"/>
        <v>5747</v>
      </c>
    </row>
    <row r="16" spans="1:17" ht="14.45" customHeight="1" x14ac:dyDescent="0.2">
      <c r="A16" s="50" t="s">
        <v>255</v>
      </c>
      <c r="B16" s="50"/>
      <c r="C16" s="51">
        <f>SUM(C5:C15)</f>
        <v>731226</v>
      </c>
      <c r="D16" s="51">
        <f>SUM(D5:D15)</f>
        <v>661659</v>
      </c>
      <c r="E16" s="51">
        <f t="shared" ref="E16:N16" si="1">SUM(E5:E15)</f>
        <v>745675</v>
      </c>
      <c r="F16" s="51">
        <f t="shared" si="1"/>
        <v>743196</v>
      </c>
      <c r="G16" s="51">
        <f t="shared" si="1"/>
        <v>769448</v>
      </c>
      <c r="H16" s="51">
        <f t="shared" si="1"/>
        <v>759280</v>
      </c>
      <c r="I16" s="51">
        <f t="shared" si="1"/>
        <v>794801</v>
      </c>
      <c r="J16" s="51">
        <f t="shared" si="1"/>
        <v>753157</v>
      </c>
      <c r="K16" s="51">
        <f t="shared" si="1"/>
        <v>774382</v>
      </c>
      <c r="L16" s="51">
        <f t="shared" si="1"/>
        <v>797812</v>
      </c>
      <c r="M16" s="51">
        <f t="shared" si="1"/>
        <v>764161</v>
      </c>
      <c r="N16" s="51">
        <f t="shared" si="1"/>
        <v>758889</v>
      </c>
      <c r="O16" s="51">
        <f>SUM(O5:O15)</f>
        <v>9053686</v>
      </c>
    </row>
    <row r="17" spans="1:19" ht="14.4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9" ht="14.45" customHeight="1" x14ac:dyDescent="0.2">
      <c r="A18" s="18" t="s">
        <v>61</v>
      </c>
      <c r="B18" s="27" t="s">
        <v>62</v>
      </c>
      <c r="C18" s="102">
        <v>235681</v>
      </c>
      <c r="D18" s="48">
        <v>227225</v>
      </c>
      <c r="E18" s="48">
        <v>225683</v>
      </c>
      <c r="F18" s="48">
        <v>225653</v>
      </c>
      <c r="G18" s="48">
        <v>222909</v>
      </c>
      <c r="H18" s="48">
        <v>203684</v>
      </c>
      <c r="I18" s="48">
        <v>216346</v>
      </c>
      <c r="J18" s="48">
        <v>227463</v>
      </c>
      <c r="K18" s="48">
        <v>212302</v>
      </c>
      <c r="L18" s="48">
        <v>209422</v>
      </c>
      <c r="M18" s="48">
        <v>195880</v>
      </c>
      <c r="N18" s="48">
        <v>209532</v>
      </c>
      <c r="O18" s="49">
        <f>SUM(C18:N18)</f>
        <v>2611780</v>
      </c>
    </row>
    <row r="19" spans="1:19" ht="21" customHeight="1" x14ac:dyDescent="0.2">
      <c r="A19" s="101" t="s">
        <v>410</v>
      </c>
      <c r="B19" s="27" t="s">
        <v>37</v>
      </c>
      <c r="C19" s="2" t="s">
        <v>159</v>
      </c>
      <c r="D19" s="48">
        <v>80106</v>
      </c>
      <c r="E19" s="48">
        <v>56702</v>
      </c>
      <c r="F19" s="2" t="s">
        <v>159</v>
      </c>
      <c r="G19" s="48">
        <v>58432</v>
      </c>
      <c r="H19" s="2">
        <v>54983</v>
      </c>
      <c r="I19" s="48" t="s">
        <v>159</v>
      </c>
      <c r="J19" s="48">
        <v>54420</v>
      </c>
      <c r="K19" s="2">
        <v>53815</v>
      </c>
      <c r="L19" s="48" t="s">
        <v>159</v>
      </c>
      <c r="M19" s="2">
        <v>77973</v>
      </c>
      <c r="N19" s="48">
        <v>40523</v>
      </c>
      <c r="O19" s="49">
        <f>SUM(C19:N19)</f>
        <v>476954</v>
      </c>
    </row>
    <row r="20" spans="1:19" ht="21" customHeight="1" x14ac:dyDescent="0.2">
      <c r="A20" s="101" t="s">
        <v>61</v>
      </c>
      <c r="B20" s="30" t="s">
        <v>124</v>
      </c>
      <c r="C20" s="103">
        <v>3435</v>
      </c>
      <c r="D20" s="48" t="s">
        <v>159</v>
      </c>
      <c r="E20" s="48" t="s">
        <v>159</v>
      </c>
      <c r="F20" s="48" t="s">
        <v>159</v>
      </c>
      <c r="G20" s="48" t="s">
        <v>159</v>
      </c>
      <c r="H20" s="48" t="s">
        <v>159</v>
      </c>
      <c r="I20" s="48" t="s">
        <v>159</v>
      </c>
      <c r="J20" s="48" t="s">
        <v>159</v>
      </c>
      <c r="K20" s="48" t="s">
        <v>159</v>
      </c>
      <c r="L20" s="48" t="s">
        <v>159</v>
      </c>
      <c r="M20" s="48" t="s">
        <v>159</v>
      </c>
      <c r="N20" s="48" t="s">
        <v>159</v>
      </c>
      <c r="O20" s="49">
        <f>SUM(C20:N20)</f>
        <v>3435</v>
      </c>
    </row>
    <row r="21" spans="1:19" ht="14.45" customHeight="1" x14ac:dyDescent="0.2">
      <c r="A21" s="50" t="s">
        <v>256</v>
      </c>
      <c r="B21" s="50"/>
      <c r="C21" s="51">
        <f>SUM(C18:C20)</f>
        <v>239116</v>
      </c>
      <c r="D21" s="51">
        <f t="shared" ref="D21:N21" si="2">SUM(D18:D20)</f>
        <v>307331</v>
      </c>
      <c r="E21" s="51">
        <f t="shared" si="2"/>
        <v>282385</v>
      </c>
      <c r="F21" s="51">
        <f t="shared" si="2"/>
        <v>225653</v>
      </c>
      <c r="G21" s="51">
        <f t="shared" si="2"/>
        <v>281341</v>
      </c>
      <c r="H21" s="51">
        <f t="shared" si="2"/>
        <v>258667</v>
      </c>
      <c r="I21" s="51">
        <f t="shared" si="2"/>
        <v>216346</v>
      </c>
      <c r="J21" s="51">
        <f t="shared" si="2"/>
        <v>281883</v>
      </c>
      <c r="K21" s="51">
        <f t="shared" si="2"/>
        <v>266117</v>
      </c>
      <c r="L21" s="51">
        <f t="shared" si="2"/>
        <v>209422</v>
      </c>
      <c r="M21" s="51">
        <f t="shared" si="2"/>
        <v>273853</v>
      </c>
      <c r="N21" s="51">
        <f t="shared" si="2"/>
        <v>250055</v>
      </c>
      <c r="O21" s="51">
        <f>SUM(O18:O20)</f>
        <v>3092169</v>
      </c>
    </row>
    <row r="22" spans="1:19" ht="14.4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9" ht="14.45" customHeight="1" x14ac:dyDescent="0.2">
      <c r="A23" s="18" t="s">
        <v>411</v>
      </c>
      <c r="B23" s="27">
        <v>192</v>
      </c>
      <c r="C23" s="48" t="s">
        <v>159</v>
      </c>
      <c r="D23" s="48" t="s">
        <v>159</v>
      </c>
      <c r="E23" s="48">
        <v>175102</v>
      </c>
      <c r="F23" s="48">
        <v>325136</v>
      </c>
      <c r="G23" s="48">
        <v>313077</v>
      </c>
      <c r="H23" s="48">
        <v>213047</v>
      </c>
      <c r="I23" s="48">
        <v>35351</v>
      </c>
      <c r="J23" s="48">
        <v>256881</v>
      </c>
      <c r="K23" s="48">
        <v>257608</v>
      </c>
      <c r="L23" s="48">
        <v>312614</v>
      </c>
      <c r="M23" s="48">
        <v>279164</v>
      </c>
      <c r="N23" s="48">
        <v>291003</v>
      </c>
      <c r="O23" s="49">
        <f>SUM(C23:N23)</f>
        <v>2458983</v>
      </c>
    </row>
    <row r="24" spans="1:19" ht="22.5" x14ac:dyDescent="0.2">
      <c r="A24" s="18" t="s">
        <v>257</v>
      </c>
      <c r="B24" s="27">
        <v>8</v>
      </c>
      <c r="C24" s="48">
        <v>49479</v>
      </c>
      <c r="D24" s="48">
        <v>205859</v>
      </c>
      <c r="E24" s="48">
        <v>212892</v>
      </c>
      <c r="F24" s="48">
        <v>134514</v>
      </c>
      <c r="G24" s="48">
        <v>168000</v>
      </c>
      <c r="H24" s="48">
        <v>13360</v>
      </c>
      <c r="I24" s="48">
        <v>71580</v>
      </c>
      <c r="J24" s="48">
        <v>165606</v>
      </c>
      <c r="K24" s="48">
        <v>169662</v>
      </c>
      <c r="L24" s="48">
        <v>78726</v>
      </c>
      <c r="M24" s="48">
        <v>200214</v>
      </c>
      <c r="N24" s="48">
        <v>141108</v>
      </c>
      <c r="O24" s="49">
        <f>SUM(C24:N24)</f>
        <v>1611000</v>
      </c>
    </row>
    <row r="25" spans="1:19" ht="14.45" customHeight="1" x14ac:dyDescent="0.25">
      <c r="A25" s="18" t="s">
        <v>125</v>
      </c>
      <c r="B25" s="27">
        <v>67</v>
      </c>
      <c r="C25" s="103">
        <v>25175</v>
      </c>
      <c r="D25" s="103">
        <v>21091</v>
      </c>
      <c r="E25" s="103">
        <v>50031</v>
      </c>
      <c r="F25" s="103">
        <v>42914</v>
      </c>
      <c r="G25" s="103">
        <v>38607</v>
      </c>
      <c r="H25" s="103">
        <v>33778</v>
      </c>
      <c r="I25" s="103">
        <v>13179</v>
      </c>
      <c r="J25" s="103">
        <v>39858</v>
      </c>
      <c r="K25" s="103">
        <v>64552</v>
      </c>
      <c r="L25" s="103">
        <v>51433</v>
      </c>
      <c r="M25" s="103">
        <v>67304</v>
      </c>
      <c r="N25" s="103">
        <v>56746</v>
      </c>
      <c r="O25" s="49">
        <f t="shared" ref="O25:O28" si="3">SUM(C25:N25)</f>
        <v>504668</v>
      </c>
      <c r="S25" s="207" t="s">
        <v>495</v>
      </c>
    </row>
    <row r="26" spans="1:19" ht="14.45" customHeight="1" x14ac:dyDescent="0.2">
      <c r="A26" s="18" t="s">
        <v>258</v>
      </c>
      <c r="B26" s="27">
        <v>95</v>
      </c>
      <c r="C26" s="103">
        <v>25007</v>
      </c>
      <c r="D26" s="103">
        <v>26583</v>
      </c>
      <c r="E26" s="103">
        <v>30012</v>
      </c>
      <c r="F26" s="103">
        <v>51342</v>
      </c>
      <c r="G26" s="103">
        <v>88291</v>
      </c>
      <c r="H26" s="103">
        <v>129626</v>
      </c>
      <c r="I26" s="103">
        <v>136231</v>
      </c>
      <c r="J26" s="103">
        <v>159098</v>
      </c>
      <c r="K26" s="103">
        <v>148440</v>
      </c>
      <c r="L26" s="103">
        <v>194945</v>
      </c>
      <c r="M26" s="103">
        <v>242034</v>
      </c>
      <c r="N26" s="103">
        <v>267216</v>
      </c>
      <c r="O26" s="49">
        <f t="shared" si="3"/>
        <v>1498825</v>
      </c>
    </row>
    <row r="27" spans="1:19" ht="14.45" customHeight="1" x14ac:dyDescent="0.2">
      <c r="A27" s="18" t="s">
        <v>26</v>
      </c>
      <c r="B27" s="27">
        <v>131</v>
      </c>
      <c r="C27" s="48">
        <v>106471</v>
      </c>
      <c r="D27" s="48">
        <v>96947</v>
      </c>
      <c r="E27" s="48">
        <v>95902</v>
      </c>
      <c r="F27" s="48">
        <v>90261</v>
      </c>
      <c r="G27" s="48">
        <v>95063</v>
      </c>
      <c r="H27" s="48">
        <v>91884</v>
      </c>
      <c r="I27" s="48">
        <v>93928</v>
      </c>
      <c r="J27" s="48">
        <v>90998</v>
      </c>
      <c r="K27" s="48">
        <v>93778</v>
      </c>
      <c r="L27" s="48">
        <v>92417</v>
      </c>
      <c r="M27" s="48">
        <v>85419</v>
      </c>
      <c r="N27" s="48">
        <v>86670</v>
      </c>
      <c r="O27" s="49">
        <f t="shared" si="3"/>
        <v>1119738</v>
      </c>
    </row>
    <row r="28" spans="1:19" ht="14.45" customHeight="1" x14ac:dyDescent="0.2">
      <c r="A28" s="18" t="s">
        <v>259</v>
      </c>
      <c r="B28" s="27" t="s">
        <v>260</v>
      </c>
      <c r="C28" s="48" t="s">
        <v>159</v>
      </c>
      <c r="D28" s="48" t="s">
        <v>159</v>
      </c>
      <c r="E28" s="48" t="s">
        <v>159</v>
      </c>
      <c r="F28" s="48" t="s">
        <v>159</v>
      </c>
      <c r="G28" s="48" t="s">
        <v>159</v>
      </c>
      <c r="H28" s="48" t="s">
        <v>159</v>
      </c>
      <c r="I28" s="48" t="s">
        <v>159</v>
      </c>
      <c r="J28" s="48" t="s">
        <v>159</v>
      </c>
      <c r="K28" s="48" t="s">
        <v>159</v>
      </c>
      <c r="L28" s="48" t="s">
        <v>159</v>
      </c>
      <c r="M28" s="48" t="s">
        <v>159</v>
      </c>
      <c r="N28" s="48" t="s">
        <v>159</v>
      </c>
      <c r="O28" s="49">
        <f t="shared" si="3"/>
        <v>0</v>
      </c>
    </row>
    <row r="29" spans="1:19" ht="14.45" customHeight="1" x14ac:dyDescent="0.2">
      <c r="A29" s="18" t="s">
        <v>259</v>
      </c>
      <c r="B29" s="27" t="s">
        <v>230</v>
      </c>
      <c r="C29" s="48" t="s">
        <v>159</v>
      </c>
      <c r="D29" s="48" t="s">
        <v>159</v>
      </c>
      <c r="E29" s="48" t="s">
        <v>159</v>
      </c>
      <c r="F29" s="48" t="s">
        <v>159</v>
      </c>
      <c r="G29" s="48" t="s">
        <v>159</v>
      </c>
      <c r="H29" s="48" t="s">
        <v>159</v>
      </c>
      <c r="I29" s="48" t="s">
        <v>159</v>
      </c>
      <c r="J29" s="48" t="s">
        <v>159</v>
      </c>
      <c r="K29" s="48" t="s">
        <v>159</v>
      </c>
      <c r="L29" s="48" t="s">
        <v>159</v>
      </c>
      <c r="M29" s="48" t="s">
        <v>159</v>
      </c>
      <c r="N29" s="48" t="s">
        <v>159</v>
      </c>
      <c r="O29" s="49">
        <f>SUM(C29:N29)</f>
        <v>0</v>
      </c>
    </row>
    <row r="30" spans="1:19" ht="14.45" customHeight="1" x14ac:dyDescent="0.2">
      <c r="A30" s="50" t="s">
        <v>261</v>
      </c>
      <c r="B30" s="50"/>
      <c r="C30" s="51">
        <f>SUM(C23:C29)</f>
        <v>206132</v>
      </c>
      <c r="D30" s="51">
        <f t="shared" ref="D30:N30" si="4">SUM(D23:D29)</f>
        <v>350480</v>
      </c>
      <c r="E30" s="51">
        <f t="shared" si="4"/>
        <v>563939</v>
      </c>
      <c r="F30" s="51">
        <f t="shared" si="4"/>
        <v>644167</v>
      </c>
      <c r="G30" s="51">
        <f t="shared" si="4"/>
        <v>703038</v>
      </c>
      <c r="H30" s="51">
        <f t="shared" si="4"/>
        <v>481695</v>
      </c>
      <c r="I30" s="51">
        <f t="shared" si="4"/>
        <v>350269</v>
      </c>
      <c r="J30" s="51">
        <f t="shared" si="4"/>
        <v>712441</v>
      </c>
      <c r="K30" s="51">
        <f t="shared" si="4"/>
        <v>734040</v>
      </c>
      <c r="L30" s="51">
        <f t="shared" si="4"/>
        <v>730135</v>
      </c>
      <c r="M30" s="51">
        <f t="shared" si="4"/>
        <v>874135</v>
      </c>
      <c r="N30" s="51">
        <f t="shared" si="4"/>
        <v>842743</v>
      </c>
      <c r="O30" s="51">
        <f>SUM(O23:O29)</f>
        <v>7193214</v>
      </c>
    </row>
    <row r="31" spans="1:19" ht="14.4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9" ht="22.5" x14ac:dyDescent="0.2">
      <c r="A32" s="52" t="s">
        <v>262</v>
      </c>
      <c r="B32" s="52"/>
      <c r="C32" s="53">
        <f>SUM(C30+C21+C16)</f>
        <v>1176474</v>
      </c>
      <c r="D32" s="53">
        <f>SUM(D30+D21+D16)</f>
        <v>1319470</v>
      </c>
      <c r="E32" s="53">
        <f t="shared" ref="E32:N32" si="5">SUM(E30+E21+E16)</f>
        <v>1591999</v>
      </c>
      <c r="F32" s="53">
        <f t="shared" si="5"/>
        <v>1613016</v>
      </c>
      <c r="G32" s="53">
        <f t="shared" si="5"/>
        <v>1753827</v>
      </c>
      <c r="H32" s="53">
        <f t="shared" si="5"/>
        <v>1499642</v>
      </c>
      <c r="I32" s="53">
        <f t="shared" si="5"/>
        <v>1361416</v>
      </c>
      <c r="J32" s="53">
        <f t="shared" si="5"/>
        <v>1747481</v>
      </c>
      <c r="K32" s="53">
        <f t="shared" si="5"/>
        <v>1774539</v>
      </c>
      <c r="L32" s="53">
        <f t="shared" si="5"/>
        <v>1737369</v>
      </c>
      <c r="M32" s="53">
        <f t="shared" si="5"/>
        <v>1912149</v>
      </c>
      <c r="N32" s="53">
        <f t="shared" si="5"/>
        <v>1851687</v>
      </c>
      <c r="O32" s="53">
        <f>SUM(O30+O21+O16)</f>
        <v>19339069</v>
      </c>
    </row>
    <row r="33" spans="1:20" ht="14.45" customHeight="1" x14ac:dyDescent="0.2">
      <c r="A33" s="54"/>
      <c r="B33" s="5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20" ht="14.45" customHeight="1" x14ac:dyDescent="0.2">
      <c r="A34" s="404" t="s">
        <v>263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20" ht="14.45" customHeight="1" x14ac:dyDescent="0.2">
      <c r="A35" s="18" t="s">
        <v>61</v>
      </c>
      <c r="B35" s="1" t="s">
        <v>62</v>
      </c>
      <c r="C35" s="48">
        <v>30853</v>
      </c>
      <c r="D35" s="48">
        <v>27936</v>
      </c>
      <c r="E35" s="48">
        <v>33283</v>
      </c>
      <c r="F35" s="48">
        <v>33646</v>
      </c>
      <c r="G35" s="48">
        <v>18000</v>
      </c>
      <c r="H35" s="48">
        <v>28271</v>
      </c>
      <c r="I35" s="48">
        <v>27108</v>
      </c>
      <c r="J35" s="48">
        <v>29000</v>
      </c>
      <c r="K35" s="48">
        <v>30273</v>
      </c>
      <c r="L35" s="48">
        <v>30503</v>
      </c>
      <c r="M35" s="48">
        <v>28931</v>
      </c>
      <c r="N35" s="48">
        <v>31487</v>
      </c>
      <c r="O35" s="49">
        <f>SUM(C35:N35)</f>
        <v>349291</v>
      </c>
    </row>
    <row r="36" spans="1:20" ht="14.45" customHeight="1" x14ac:dyDescent="0.2">
      <c r="A36" s="50" t="s">
        <v>264</v>
      </c>
      <c r="B36" s="21"/>
      <c r="C36" s="55">
        <f>SUM(C35)</f>
        <v>30853</v>
      </c>
      <c r="D36" s="55">
        <f t="shared" ref="D36:N36" si="6">SUM(D35)</f>
        <v>27936</v>
      </c>
      <c r="E36" s="55">
        <f t="shared" si="6"/>
        <v>33283</v>
      </c>
      <c r="F36" s="55">
        <f t="shared" si="6"/>
        <v>33646</v>
      </c>
      <c r="G36" s="55">
        <f t="shared" si="6"/>
        <v>18000</v>
      </c>
      <c r="H36" s="55">
        <f t="shared" si="6"/>
        <v>28271</v>
      </c>
      <c r="I36" s="55">
        <f t="shared" si="6"/>
        <v>27108</v>
      </c>
      <c r="J36" s="55">
        <f t="shared" si="6"/>
        <v>29000</v>
      </c>
      <c r="K36" s="55">
        <f t="shared" si="6"/>
        <v>30273</v>
      </c>
      <c r="L36" s="55">
        <f t="shared" si="6"/>
        <v>30503</v>
      </c>
      <c r="M36" s="55">
        <f t="shared" si="6"/>
        <v>28931</v>
      </c>
      <c r="N36" s="55">
        <f t="shared" si="6"/>
        <v>31487</v>
      </c>
      <c r="O36" s="55">
        <f>SUM(O35)</f>
        <v>349291</v>
      </c>
    </row>
    <row r="37" spans="1:20" ht="14.45" customHeight="1" x14ac:dyDescent="0.2">
      <c r="A37" s="27"/>
      <c r="B37" s="2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20" ht="14.45" customHeight="1" x14ac:dyDescent="0.2">
      <c r="A38" s="18" t="s">
        <v>265</v>
      </c>
      <c r="B38" s="27" t="s">
        <v>211</v>
      </c>
      <c r="C38" s="48">
        <v>28492</v>
      </c>
      <c r="D38" s="48">
        <v>24832</v>
      </c>
      <c r="E38" s="48">
        <v>26325</v>
      </c>
      <c r="F38" s="48">
        <v>23412</v>
      </c>
      <c r="G38" s="48">
        <v>25346</v>
      </c>
      <c r="H38" s="48">
        <v>19714</v>
      </c>
      <c r="I38" s="48">
        <v>24408</v>
      </c>
      <c r="J38" s="48">
        <v>24139</v>
      </c>
      <c r="K38" s="48">
        <v>21229</v>
      </c>
      <c r="L38" s="48">
        <v>19817</v>
      </c>
      <c r="M38" s="48">
        <v>19115</v>
      </c>
      <c r="N38" s="48">
        <v>18871</v>
      </c>
      <c r="O38" s="49">
        <f>SUM(C38:N38)</f>
        <v>275700</v>
      </c>
    </row>
    <row r="39" spans="1:20" ht="14.45" customHeight="1" x14ac:dyDescent="0.2">
      <c r="A39" s="18" t="s">
        <v>28</v>
      </c>
      <c r="B39" s="27">
        <v>88</v>
      </c>
      <c r="C39" s="48">
        <v>1528594</v>
      </c>
      <c r="D39" s="48">
        <v>1385147</v>
      </c>
      <c r="E39" s="48">
        <v>1474567</v>
      </c>
      <c r="F39" s="48">
        <v>1158629</v>
      </c>
      <c r="G39" s="48">
        <v>1365919</v>
      </c>
      <c r="H39" s="48">
        <v>1554175</v>
      </c>
      <c r="I39" s="48">
        <v>1570836</v>
      </c>
      <c r="J39" s="48">
        <v>1533811</v>
      </c>
      <c r="K39" s="48">
        <v>1475068</v>
      </c>
      <c r="L39" s="48">
        <v>1417045</v>
      </c>
      <c r="M39" s="48">
        <v>1431592</v>
      </c>
      <c r="N39" s="48">
        <v>1443218</v>
      </c>
      <c r="O39" s="49">
        <f t="shared" ref="O39:O41" si="7">SUM(C39:N39)</f>
        <v>17338601</v>
      </c>
    </row>
    <row r="40" spans="1:20" ht="14.45" customHeight="1" x14ac:dyDescent="0.2">
      <c r="A40" s="18" t="s">
        <v>29</v>
      </c>
      <c r="B40" s="27">
        <v>57</v>
      </c>
      <c r="C40" s="48">
        <v>433710</v>
      </c>
      <c r="D40" s="48">
        <v>420207</v>
      </c>
      <c r="E40" s="48">
        <v>407615</v>
      </c>
      <c r="F40" s="48">
        <v>354403</v>
      </c>
      <c r="G40" s="48">
        <v>288998</v>
      </c>
      <c r="H40" s="48">
        <v>224863</v>
      </c>
      <c r="I40" s="48">
        <v>338842</v>
      </c>
      <c r="J40" s="48">
        <v>403918</v>
      </c>
      <c r="K40" s="48">
        <v>412748</v>
      </c>
      <c r="L40" s="48">
        <v>378211</v>
      </c>
      <c r="M40" s="48">
        <v>403473</v>
      </c>
      <c r="N40" s="48">
        <v>392267</v>
      </c>
      <c r="O40" s="49">
        <f>SUM(C40:N40)</f>
        <v>4459255</v>
      </c>
    </row>
    <row r="41" spans="1:20" ht="14.45" customHeight="1" x14ac:dyDescent="0.2">
      <c r="A41" s="18" t="s">
        <v>28</v>
      </c>
      <c r="B41" s="27">
        <v>56</v>
      </c>
      <c r="C41" s="48">
        <v>871859</v>
      </c>
      <c r="D41" s="48">
        <v>812103</v>
      </c>
      <c r="E41" s="48">
        <v>809129</v>
      </c>
      <c r="F41" s="48">
        <v>713034</v>
      </c>
      <c r="G41" s="48">
        <v>770361</v>
      </c>
      <c r="H41" s="48">
        <v>782497</v>
      </c>
      <c r="I41" s="48">
        <v>771452</v>
      </c>
      <c r="J41" s="48">
        <v>682958</v>
      </c>
      <c r="K41" s="48">
        <v>767882</v>
      </c>
      <c r="L41" s="48">
        <v>697197</v>
      </c>
      <c r="M41" s="48">
        <v>786031</v>
      </c>
      <c r="N41" s="48">
        <v>771810</v>
      </c>
      <c r="O41" s="49">
        <f t="shared" si="7"/>
        <v>9236313</v>
      </c>
    </row>
    <row r="42" spans="1:20" ht="14.45" customHeight="1" x14ac:dyDescent="0.2">
      <c r="A42" s="50" t="s">
        <v>266</v>
      </c>
      <c r="B42" s="50"/>
      <c r="C42" s="55">
        <f>SUM(C38:C41)</f>
        <v>2862655</v>
      </c>
      <c r="D42" s="55">
        <f t="shared" ref="D42:N42" si="8">SUM(D38:D41)</f>
        <v>2642289</v>
      </c>
      <c r="E42" s="55">
        <f t="shared" si="8"/>
        <v>2717636</v>
      </c>
      <c r="F42" s="55">
        <f t="shared" si="8"/>
        <v>2249478</v>
      </c>
      <c r="G42" s="55">
        <f t="shared" si="8"/>
        <v>2450624</v>
      </c>
      <c r="H42" s="55">
        <f t="shared" si="8"/>
        <v>2581249</v>
      </c>
      <c r="I42" s="55">
        <f t="shared" si="8"/>
        <v>2705538</v>
      </c>
      <c r="J42" s="55">
        <f t="shared" si="8"/>
        <v>2644826</v>
      </c>
      <c r="K42" s="55">
        <f t="shared" si="8"/>
        <v>2676927</v>
      </c>
      <c r="L42" s="55">
        <f t="shared" si="8"/>
        <v>2512270</v>
      </c>
      <c r="M42" s="55">
        <f t="shared" si="8"/>
        <v>2640211</v>
      </c>
      <c r="N42" s="55">
        <f t="shared" si="8"/>
        <v>2626166</v>
      </c>
      <c r="O42" s="51">
        <f>SUM(O38:O41)</f>
        <v>31309869</v>
      </c>
    </row>
    <row r="43" spans="1:20" ht="14.45" customHeight="1" x14ac:dyDescent="0.2">
      <c r="A43" s="27"/>
      <c r="B43" s="27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20" ht="24" customHeight="1" x14ac:dyDescent="0.2">
      <c r="A44" s="405" t="s">
        <v>267</v>
      </c>
      <c r="B44" s="405"/>
      <c r="C44" s="53">
        <f>SUM(C36+C42)</f>
        <v>2893508</v>
      </c>
      <c r="D44" s="53">
        <f t="shared" ref="D44:N44" si="9">SUM(D36+D42)</f>
        <v>2670225</v>
      </c>
      <c r="E44" s="53">
        <f>SUM(E36+E42)</f>
        <v>2750919</v>
      </c>
      <c r="F44" s="53">
        <f t="shared" si="9"/>
        <v>2283124</v>
      </c>
      <c r="G44" s="53">
        <f t="shared" si="9"/>
        <v>2468624</v>
      </c>
      <c r="H44" s="53">
        <f t="shared" si="9"/>
        <v>2609520</v>
      </c>
      <c r="I44" s="53">
        <f t="shared" si="9"/>
        <v>2732646</v>
      </c>
      <c r="J44" s="53">
        <f t="shared" si="9"/>
        <v>2673826</v>
      </c>
      <c r="K44" s="53">
        <f t="shared" si="9"/>
        <v>2707200</v>
      </c>
      <c r="L44" s="53">
        <f t="shared" si="9"/>
        <v>2542773</v>
      </c>
      <c r="M44" s="53">
        <f t="shared" si="9"/>
        <v>2669142</v>
      </c>
      <c r="N44" s="53">
        <f t="shared" si="9"/>
        <v>2657653</v>
      </c>
      <c r="O44" s="53">
        <f>SUM(O36+O42)</f>
        <v>31659160</v>
      </c>
    </row>
    <row r="45" spans="1:20" ht="14.45" customHeight="1" x14ac:dyDescent="0.2">
      <c r="A45" s="54"/>
      <c r="B45" s="5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33.75" customHeight="1" x14ac:dyDescent="0.2">
      <c r="A46" s="353" t="s">
        <v>268</v>
      </c>
      <c r="B46" s="353"/>
      <c r="C46" s="56">
        <f>C32+C44</f>
        <v>4069982</v>
      </c>
      <c r="D46" s="56">
        <f t="shared" ref="D46:N46" si="10">D32+D44</f>
        <v>3989695</v>
      </c>
      <c r="E46" s="56">
        <f t="shared" si="10"/>
        <v>4342918</v>
      </c>
      <c r="F46" s="56">
        <f t="shared" si="10"/>
        <v>3896140</v>
      </c>
      <c r="G46" s="56">
        <f t="shared" si="10"/>
        <v>4222451</v>
      </c>
      <c r="H46" s="56">
        <f t="shared" si="10"/>
        <v>4109162</v>
      </c>
      <c r="I46" s="56">
        <f t="shared" si="10"/>
        <v>4094062</v>
      </c>
      <c r="J46" s="56">
        <f t="shared" si="10"/>
        <v>4421307</v>
      </c>
      <c r="K46" s="56">
        <f t="shared" si="10"/>
        <v>4481739</v>
      </c>
      <c r="L46" s="56">
        <f t="shared" si="10"/>
        <v>4280142</v>
      </c>
      <c r="M46" s="56">
        <f t="shared" si="10"/>
        <v>4581291</v>
      </c>
      <c r="N46" s="56">
        <f t="shared" si="10"/>
        <v>4509340</v>
      </c>
      <c r="O46" s="56">
        <f>O32+O44</f>
        <v>50998229</v>
      </c>
      <c r="S46" s="208" t="s">
        <v>496</v>
      </c>
      <c r="T46" s="209">
        <f>+O21+O36</f>
        <v>3441460</v>
      </c>
    </row>
    <row r="47" spans="1:20" ht="12.75" x14ac:dyDescent="0.2">
      <c r="S47" s="208" t="s">
        <v>114</v>
      </c>
      <c r="T47" s="209">
        <f>+O30+O42</f>
        <v>38503083</v>
      </c>
    </row>
    <row r="48" spans="1:20" ht="12.75" x14ac:dyDescent="0.2">
      <c r="S48" s="208" t="s">
        <v>497</v>
      </c>
      <c r="T48" s="209">
        <f>+O16</f>
        <v>9053686</v>
      </c>
    </row>
    <row r="49" spans="19:20" ht="12.75" x14ac:dyDescent="0.2">
      <c r="S49" s="208"/>
      <c r="T49" s="209">
        <f>+SUM(T46:T48)</f>
        <v>50998229</v>
      </c>
    </row>
    <row r="50" spans="19:20" ht="12.75" x14ac:dyDescent="0.2">
      <c r="S50" s="208"/>
      <c r="T50" s="208"/>
    </row>
  </sheetData>
  <mergeCells count="6">
    <mergeCell ref="A46:B46"/>
    <mergeCell ref="A1:O1"/>
    <mergeCell ref="A2:O2"/>
    <mergeCell ref="A4:O4"/>
    <mergeCell ref="A34:O34"/>
    <mergeCell ref="A44:B44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1</vt:i4>
      </vt:variant>
    </vt:vector>
  </HeadingPairs>
  <TitlesOfParts>
    <vt:vector size="5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CALIDDA</vt:lpstr>
      <vt:lpstr>CONTUGAS</vt:lpstr>
      <vt:lpstr>QUAVII</vt:lpstr>
      <vt:lpstr>NATURGY</vt:lpstr>
      <vt:lpstr>'21'!Área_de_impresión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ZARATE MORAN MELISSA DEL ROSARIO</cp:lastModifiedBy>
  <dcterms:created xsi:type="dcterms:W3CDTF">2020-08-27T06:02:22Z</dcterms:created>
  <dcterms:modified xsi:type="dcterms:W3CDTF">2021-01-06T16:07:00Z</dcterms:modified>
</cp:coreProperties>
</file>